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3\"/>
    </mc:Choice>
  </mc:AlternateContent>
  <bookViews>
    <workbookView xWindow="870" yWindow="240" windowWidth="22875" windowHeight="11325" activeTab="2"/>
  </bookViews>
  <sheets>
    <sheet name="Calculations" sheetId="4" r:id="rId1"/>
    <sheet name="Exhibit 1.1" sheetId="6" r:id="rId2"/>
    <sheet name="Exhibit 1.1 Page 4" sheetId="7" r:id="rId3"/>
    <sheet name="Exhibit 1.2 Lakeside" sheetId="14" r:id="rId4"/>
    <sheet name="Exhibit 1.3 COS" sheetId="8" r:id="rId5"/>
    <sheet name="Exhibit 1.4 Base Rates" sheetId="13" r:id="rId6"/>
    <sheet name="Exhibit 1.5 Tracker Rates" sheetId="11" r:id="rId7"/>
    <sheet name="Exhibit 1.6 Typical Bill" sheetId="10" r:id="rId8"/>
    <sheet name="Exhibit 1.7 CET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 localSheetId="5">#REF!</definedName>
    <definedName name="Cumulative_Investment">'Exhibit 1.1'!$A$3:$O$76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1">'Exhibit 1.1'!$A$1:$BI$96</definedName>
    <definedName name="_xlnm.Print_Area" localSheetId="2">'Exhibit 1.1 Page 4'!$A$1:$H$42</definedName>
    <definedName name="_xlnm.Print_Area" localSheetId="4">'Exhibit 1.3 COS'!$A$1:$L$21</definedName>
    <definedName name="_xlnm.Print_Area" localSheetId="5">'Exhibit 1.4 Base Rates'!$A$1:$L$224</definedName>
    <definedName name="_xlnm.Print_Area" localSheetId="6">'Exhibit 1.5 Tracker Rates'!$A$1:$O$70</definedName>
    <definedName name="_xlnm.Print_Area" localSheetId="7">'Exhibit 1.6 Typical Bill'!$A$1:$J$26</definedName>
    <definedName name="_xlnm.Print_Titles" localSheetId="1">'Exhibit 1.1'!$A:$C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olver_adj" localSheetId="5" hidden="1">'Exhibit 1.4 Base Rates'!#REF!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'Exhibit 1.4 Base Rates'!#REF!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3</definedName>
    <definedName name="solver_val" localSheetId="5" hidden="1">0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52511"/>
</workbook>
</file>

<file path=xl/calcChain.xml><?xml version="1.0" encoding="utf-8"?>
<calcChain xmlns="http://schemas.openxmlformats.org/spreadsheetml/2006/main">
  <c r="E19" i="14" l="1"/>
  <c r="R61" i="11" l="1"/>
  <c r="R50" i="11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P47" i="4"/>
  <c r="AQ47" i="4"/>
  <c r="AR47" i="4"/>
  <c r="AP48" i="4"/>
  <c r="AQ48" i="4"/>
  <c r="AR48" i="4"/>
  <c r="AP49" i="4"/>
  <c r="AQ49" i="4"/>
  <c r="AR49" i="4"/>
  <c r="AP50" i="4"/>
  <c r="AQ50" i="4"/>
  <c r="AR50" i="4"/>
  <c r="AP51" i="4"/>
  <c r="AQ51" i="4"/>
  <c r="AR51" i="4"/>
  <c r="AP52" i="4"/>
  <c r="AQ52" i="4"/>
  <c r="AR52" i="4"/>
  <c r="AP53" i="4"/>
  <c r="AQ53" i="4"/>
  <c r="AR53" i="4"/>
  <c r="AP54" i="4"/>
  <c r="AQ54" i="4"/>
  <c r="AR54" i="4"/>
  <c r="AP55" i="4"/>
  <c r="AQ55" i="4"/>
  <c r="AR55" i="4"/>
  <c r="AP56" i="4"/>
  <c r="AQ56" i="4"/>
  <c r="AR56" i="4"/>
  <c r="AP57" i="4"/>
  <c r="AQ57" i="4"/>
  <c r="AR57" i="4"/>
  <c r="AP58" i="4"/>
  <c r="AQ58" i="4"/>
  <c r="AR58" i="4"/>
  <c r="AP59" i="4"/>
  <c r="AQ59" i="4"/>
  <c r="AR59" i="4"/>
  <c r="AP60" i="4"/>
  <c r="AQ60" i="4"/>
  <c r="AR60" i="4"/>
  <c r="AP61" i="4"/>
  <c r="AQ61" i="4"/>
  <c r="AR61" i="4"/>
  <c r="AD62" i="4"/>
  <c r="A190" i="13" l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H67" i="11" l="1"/>
  <c r="H60" i="11"/>
  <c r="H59" i="11"/>
  <c r="H58" i="11"/>
  <c r="H57" i="11"/>
  <c r="H56" i="11"/>
  <c r="H49" i="11"/>
  <c r="H48" i="11"/>
  <c r="H47" i="11"/>
  <c r="H46" i="11"/>
  <c r="H45" i="11"/>
  <c r="H38" i="11"/>
  <c r="H37" i="11"/>
  <c r="H36" i="11"/>
  <c r="H29" i="11"/>
  <c r="H28" i="11"/>
  <c r="H27" i="11"/>
  <c r="H25" i="11"/>
  <c r="H24" i="11"/>
  <c r="H23" i="11"/>
  <c r="H17" i="11"/>
  <c r="H11" i="11"/>
  <c r="H10" i="11"/>
  <c r="H8" i="11"/>
  <c r="H7" i="11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D44" i="6" l="1"/>
  <c r="E44" i="6"/>
  <c r="F44" i="6"/>
  <c r="G44" i="6"/>
  <c r="H44" i="6"/>
  <c r="I44" i="6"/>
  <c r="J44" i="6"/>
  <c r="K44" i="6"/>
  <c r="L44" i="6"/>
  <c r="M44" i="6"/>
  <c r="N44" i="6"/>
  <c r="O44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49" i="6"/>
  <c r="E49" i="6"/>
  <c r="F49" i="6"/>
  <c r="G49" i="6"/>
  <c r="H49" i="6"/>
  <c r="I49" i="6"/>
  <c r="J49" i="6"/>
  <c r="K49" i="6"/>
  <c r="L49" i="6"/>
  <c r="M49" i="6"/>
  <c r="N49" i="6"/>
  <c r="O49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D54" i="6"/>
  <c r="E54" i="6"/>
  <c r="F54" i="6"/>
  <c r="G54" i="6"/>
  <c r="H54" i="6"/>
  <c r="I54" i="6"/>
  <c r="J54" i="6"/>
  <c r="K54" i="6"/>
  <c r="L54" i="6"/>
  <c r="M54" i="6"/>
  <c r="N54" i="6"/>
  <c r="O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D57" i="6"/>
  <c r="E57" i="6"/>
  <c r="F57" i="6"/>
  <c r="G57" i="6"/>
  <c r="H57" i="6"/>
  <c r="I57" i="6"/>
  <c r="J57" i="6"/>
  <c r="K57" i="6"/>
  <c r="L57" i="6"/>
  <c r="M57" i="6"/>
  <c r="N57" i="6"/>
  <c r="O57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E5" i="6" l="1"/>
  <c r="F5" i="6"/>
  <c r="G5" i="6"/>
  <c r="H5" i="6"/>
  <c r="I5" i="6"/>
  <c r="J5" i="6"/>
  <c r="K5" i="6"/>
  <c r="L5" i="6"/>
  <c r="M5" i="6"/>
  <c r="N5" i="6"/>
  <c r="O5" i="6"/>
  <c r="E6" i="6"/>
  <c r="F6" i="6"/>
  <c r="G6" i="6"/>
  <c r="H6" i="6"/>
  <c r="I6" i="6"/>
  <c r="J6" i="6"/>
  <c r="K6" i="6"/>
  <c r="L6" i="6"/>
  <c r="M6" i="6"/>
  <c r="N6" i="6"/>
  <c r="O6" i="6"/>
  <c r="E7" i="6"/>
  <c r="F7" i="6"/>
  <c r="G7" i="6"/>
  <c r="H7" i="6"/>
  <c r="I7" i="6"/>
  <c r="J7" i="6"/>
  <c r="K7" i="6"/>
  <c r="L7" i="6"/>
  <c r="M7" i="6"/>
  <c r="N7" i="6"/>
  <c r="O7" i="6"/>
  <c r="E8" i="6"/>
  <c r="F8" i="6"/>
  <c r="G8" i="6"/>
  <c r="H8" i="6"/>
  <c r="I8" i="6"/>
  <c r="J8" i="6"/>
  <c r="K8" i="6"/>
  <c r="L8" i="6"/>
  <c r="M8" i="6"/>
  <c r="N8" i="6"/>
  <c r="O8" i="6"/>
  <c r="E9" i="6"/>
  <c r="F9" i="6"/>
  <c r="G9" i="6"/>
  <c r="H9" i="6"/>
  <c r="I9" i="6"/>
  <c r="J9" i="6"/>
  <c r="K9" i="6"/>
  <c r="L9" i="6"/>
  <c r="M9" i="6"/>
  <c r="N9" i="6"/>
  <c r="O9" i="6"/>
  <c r="E10" i="6"/>
  <c r="F10" i="6"/>
  <c r="G10" i="6"/>
  <c r="H10" i="6"/>
  <c r="I10" i="6"/>
  <c r="J10" i="6"/>
  <c r="K10" i="6"/>
  <c r="L10" i="6"/>
  <c r="M10" i="6"/>
  <c r="N10" i="6"/>
  <c r="O10" i="6"/>
  <c r="E11" i="6"/>
  <c r="F11" i="6"/>
  <c r="G11" i="6"/>
  <c r="H11" i="6"/>
  <c r="I11" i="6"/>
  <c r="J11" i="6"/>
  <c r="K11" i="6"/>
  <c r="L11" i="6"/>
  <c r="M11" i="6"/>
  <c r="N11" i="6"/>
  <c r="O11" i="6"/>
  <c r="E12" i="6"/>
  <c r="F12" i="6"/>
  <c r="G12" i="6"/>
  <c r="H12" i="6"/>
  <c r="I12" i="6"/>
  <c r="J12" i="6"/>
  <c r="K12" i="6"/>
  <c r="L12" i="6"/>
  <c r="M12" i="6"/>
  <c r="N12" i="6"/>
  <c r="O12" i="6"/>
  <c r="E13" i="6"/>
  <c r="F13" i="6"/>
  <c r="G13" i="6"/>
  <c r="H13" i="6"/>
  <c r="I13" i="6"/>
  <c r="J13" i="6"/>
  <c r="K13" i="6"/>
  <c r="L13" i="6"/>
  <c r="M13" i="6"/>
  <c r="N13" i="6"/>
  <c r="O13" i="6"/>
  <c r="E14" i="6"/>
  <c r="F14" i="6"/>
  <c r="G14" i="6"/>
  <c r="H14" i="6"/>
  <c r="I14" i="6"/>
  <c r="J14" i="6"/>
  <c r="K14" i="6"/>
  <c r="L14" i="6"/>
  <c r="M14" i="6"/>
  <c r="N14" i="6"/>
  <c r="O14" i="6"/>
  <c r="E15" i="6"/>
  <c r="F15" i="6"/>
  <c r="G15" i="6"/>
  <c r="H15" i="6"/>
  <c r="I15" i="6"/>
  <c r="J15" i="6"/>
  <c r="K15" i="6"/>
  <c r="L15" i="6"/>
  <c r="M15" i="6"/>
  <c r="N15" i="6"/>
  <c r="O15" i="6"/>
  <c r="E16" i="6"/>
  <c r="F16" i="6"/>
  <c r="G16" i="6"/>
  <c r="H16" i="6"/>
  <c r="I16" i="6"/>
  <c r="J16" i="6"/>
  <c r="K16" i="6"/>
  <c r="L16" i="6"/>
  <c r="M16" i="6"/>
  <c r="N16" i="6"/>
  <c r="O16" i="6"/>
  <c r="E17" i="6"/>
  <c r="F17" i="6"/>
  <c r="G17" i="6"/>
  <c r="H17" i="6"/>
  <c r="I17" i="6"/>
  <c r="J17" i="6"/>
  <c r="K17" i="6"/>
  <c r="L17" i="6"/>
  <c r="M17" i="6"/>
  <c r="N17" i="6"/>
  <c r="O17" i="6"/>
  <c r="E18" i="6"/>
  <c r="F18" i="6"/>
  <c r="G18" i="6"/>
  <c r="H18" i="6"/>
  <c r="I18" i="6"/>
  <c r="J18" i="6"/>
  <c r="K18" i="6"/>
  <c r="L18" i="6"/>
  <c r="M18" i="6"/>
  <c r="N18" i="6"/>
  <c r="O18" i="6"/>
  <c r="E19" i="6"/>
  <c r="F19" i="6"/>
  <c r="G19" i="6"/>
  <c r="H19" i="6"/>
  <c r="I19" i="6"/>
  <c r="J19" i="6"/>
  <c r="K19" i="6"/>
  <c r="L19" i="6"/>
  <c r="M19" i="6"/>
  <c r="N19" i="6"/>
  <c r="O19" i="6"/>
  <c r="E20" i="6"/>
  <c r="F20" i="6"/>
  <c r="G20" i="6"/>
  <c r="H20" i="6"/>
  <c r="I20" i="6"/>
  <c r="J20" i="6"/>
  <c r="K20" i="6"/>
  <c r="L20" i="6"/>
  <c r="M20" i="6"/>
  <c r="N20" i="6"/>
  <c r="O20" i="6"/>
  <c r="E21" i="6"/>
  <c r="F21" i="6"/>
  <c r="G21" i="6"/>
  <c r="H21" i="6"/>
  <c r="I21" i="6"/>
  <c r="J21" i="6"/>
  <c r="K21" i="6"/>
  <c r="L21" i="6"/>
  <c r="M21" i="6"/>
  <c r="N21" i="6"/>
  <c r="O21" i="6"/>
  <c r="E22" i="6"/>
  <c r="F22" i="6"/>
  <c r="G22" i="6"/>
  <c r="H22" i="6"/>
  <c r="I22" i="6"/>
  <c r="J22" i="6"/>
  <c r="K22" i="6"/>
  <c r="L22" i="6"/>
  <c r="M22" i="6"/>
  <c r="N22" i="6"/>
  <c r="O22" i="6"/>
  <c r="E23" i="6"/>
  <c r="F23" i="6"/>
  <c r="G23" i="6"/>
  <c r="H23" i="6"/>
  <c r="I23" i="6"/>
  <c r="J23" i="6"/>
  <c r="K23" i="6"/>
  <c r="L23" i="6"/>
  <c r="M23" i="6"/>
  <c r="N23" i="6"/>
  <c r="O23" i="6"/>
  <c r="E24" i="6"/>
  <c r="F24" i="6"/>
  <c r="G24" i="6"/>
  <c r="H24" i="6"/>
  <c r="I24" i="6"/>
  <c r="J24" i="6"/>
  <c r="K24" i="6"/>
  <c r="L24" i="6"/>
  <c r="M24" i="6"/>
  <c r="N24" i="6"/>
  <c r="O24" i="6"/>
  <c r="E25" i="6"/>
  <c r="F25" i="6"/>
  <c r="G25" i="6"/>
  <c r="H25" i="6"/>
  <c r="I25" i="6"/>
  <c r="J25" i="6"/>
  <c r="K25" i="6"/>
  <c r="L25" i="6"/>
  <c r="M25" i="6"/>
  <c r="N25" i="6"/>
  <c r="O25" i="6"/>
  <c r="E26" i="6"/>
  <c r="F26" i="6"/>
  <c r="G26" i="6"/>
  <c r="H26" i="6"/>
  <c r="I26" i="6"/>
  <c r="J26" i="6"/>
  <c r="K26" i="6"/>
  <c r="L26" i="6"/>
  <c r="M26" i="6"/>
  <c r="N26" i="6"/>
  <c r="O26" i="6"/>
  <c r="E27" i="6"/>
  <c r="F27" i="6"/>
  <c r="G27" i="6"/>
  <c r="H27" i="6"/>
  <c r="I27" i="6"/>
  <c r="J27" i="6"/>
  <c r="K27" i="6"/>
  <c r="L27" i="6"/>
  <c r="M27" i="6"/>
  <c r="N27" i="6"/>
  <c r="O27" i="6"/>
  <c r="E28" i="6"/>
  <c r="F28" i="6"/>
  <c r="G28" i="6"/>
  <c r="H28" i="6"/>
  <c r="I28" i="6"/>
  <c r="J28" i="6"/>
  <c r="K28" i="6"/>
  <c r="L28" i="6"/>
  <c r="M28" i="6"/>
  <c r="N28" i="6"/>
  <c r="O28" i="6"/>
  <c r="E29" i="6"/>
  <c r="F29" i="6"/>
  <c r="G29" i="6"/>
  <c r="H29" i="6"/>
  <c r="I29" i="6"/>
  <c r="J29" i="6"/>
  <c r="K29" i="6"/>
  <c r="L29" i="6"/>
  <c r="M29" i="6"/>
  <c r="N29" i="6"/>
  <c r="O29" i="6"/>
  <c r="E30" i="6"/>
  <c r="F30" i="6"/>
  <c r="G30" i="6"/>
  <c r="H30" i="6"/>
  <c r="I30" i="6"/>
  <c r="J30" i="6"/>
  <c r="K30" i="6"/>
  <c r="L30" i="6"/>
  <c r="M30" i="6"/>
  <c r="N30" i="6"/>
  <c r="O30" i="6"/>
  <c r="E31" i="6"/>
  <c r="F31" i="6"/>
  <c r="G31" i="6"/>
  <c r="H31" i="6"/>
  <c r="I31" i="6"/>
  <c r="J31" i="6"/>
  <c r="K31" i="6"/>
  <c r="L31" i="6"/>
  <c r="M31" i="6"/>
  <c r="N31" i="6"/>
  <c r="O31" i="6"/>
  <c r="E32" i="6"/>
  <c r="F32" i="6"/>
  <c r="G32" i="6"/>
  <c r="H32" i="6"/>
  <c r="I32" i="6"/>
  <c r="J32" i="6"/>
  <c r="K32" i="6"/>
  <c r="L32" i="6"/>
  <c r="M32" i="6"/>
  <c r="N32" i="6"/>
  <c r="O32" i="6"/>
  <c r="E33" i="6"/>
  <c r="F33" i="6"/>
  <c r="G33" i="6"/>
  <c r="H33" i="6"/>
  <c r="I33" i="6"/>
  <c r="J33" i="6"/>
  <c r="K33" i="6"/>
  <c r="L33" i="6"/>
  <c r="M33" i="6"/>
  <c r="N33" i="6"/>
  <c r="O33" i="6"/>
  <c r="E34" i="6"/>
  <c r="F34" i="6"/>
  <c r="G34" i="6"/>
  <c r="H34" i="6"/>
  <c r="I34" i="6"/>
  <c r="J34" i="6"/>
  <c r="K34" i="6"/>
  <c r="L34" i="6"/>
  <c r="M34" i="6"/>
  <c r="N34" i="6"/>
  <c r="O34" i="6"/>
  <c r="E35" i="6"/>
  <c r="F35" i="6"/>
  <c r="G35" i="6"/>
  <c r="H35" i="6"/>
  <c r="I35" i="6"/>
  <c r="J35" i="6"/>
  <c r="K35" i="6"/>
  <c r="L35" i="6"/>
  <c r="M35" i="6"/>
  <c r="N35" i="6"/>
  <c r="O35" i="6"/>
  <c r="E36" i="6"/>
  <c r="F36" i="6"/>
  <c r="G36" i="6"/>
  <c r="H36" i="6"/>
  <c r="I36" i="6"/>
  <c r="J36" i="6"/>
  <c r="K36" i="6"/>
  <c r="L36" i="6"/>
  <c r="M36" i="6"/>
  <c r="N36" i="6"/>
  <c r="O36" i="6"/>
  <c r="E37" i="6"/>
  <c r="F37" i="6"/>
  <c r="G37" i="6"/>
  <c r="H37" i="6"/>
  <c r="I37" i="6"/>
  <c r="J37" i="6"/>
  <c r="K37" i="6"/>
  <c r="L37" i="6"/>
  <c r="M37" i="6"/>
  <c r="N37" i="6"/>
  <c r="O37" i="6"/>
  <c r="E38" i="6"/>
  <c r="F38" i="6"/>
  <c r="G38" i="6"/>
  <c r="H38" i="6"/>
  <c r="I38" i="6"/>
  <c r="J38" i="6"/>
  <c r="K38" i="6"/>
  <c r="L38" i="6"/>
  <c r="M38" i="6"/>
  <c r="N38" i="6"/>
  <c r="O38" i="6"/>
  <c r="E39" i="6"/>
  <c r="F39" i="6"/>
  <c r="G39" i="6"/>
  <c r="H39" i="6"/>
  <c r="I39" i="6"/>
  <c r="J39" i="6"/>
  <c r="K39" i="6"/>
  <c r="L39" i="6"/>
  <c r="M39" i="6"/>
  <c r="N39" i="6"/>
  <c r="O39" i="6"/>
  <c r="E40" i="6"/>
  <c r="F40" i="6"/>
  <c r="G40" i="6"/>
  <c r="H40" i="6"/>
  <c r="I40" i="6"/>
  <c r="J40" i="6"/>
  <c r="K40" i="6"/>
  <c r="L40" i="6"/>
  <c r="M40" i="6"/>
  <c r="N40" i="6"/>
  <c r="O40" i="6"/>
  <c r="E41" i="6"/>
  <c r="F41" i="6"/>
  <c r="G41" i="6"/>
  <c r="H41" i="6"/>
  <c r="I41" i="6"/>
  <c r="J41" i="6"/>
  <c r="K41" i="6"/>
  <c r="L41" i="6"/>
  <c r="M41" i="6"/>
  <c r="N41" i="6"/>
  <c r="O41" i="6"/>
  <c r="E42" i="6"/>
  <c r="F42" i="6"/>
  <c r="G42" i="6"/>
  <c r="H42" i="6"/>
  <c r="I42" i="6"/>
  <c r="J42" i="6"/>
  <c r="K42" i="6"/>
  <c r="L42" i="6"/>
  <c r="M42" i="6"/>
  <c r="N42" i="6"/>
  <c r="O42" i="6"/>
  <c r="E43" i="6"/>
  <c r="F43" i="6"/>
  <c r="G43" i="6"/>
  <c r="H43" i="6"/>
  <c r="I43" i="6"/>
  <c r="J43" i="6"/>
  <c r="K43" i="6"/>
  <c r="L43" i="6"/>
  <c r="M43" i="6"/>
  <c r="N43" i="6"/>
  <c r="O43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AL61" i="4"/>
  <c r="AL59" i="4"/>
  <c r="AL58" i="4"/>
  <c r="M62" i="4"/>
  <c r="L62" i="4"/>
  <c r="K62" i="4"/>
  <c r="J62" i="4"/>
  <c r="I62" i="4"/>
  <c r="H62" i="4"/>
  <c r="G62" i="4"/>
  <c r="F62" i="4"/>
  <c r="E62" i="4"/>
  <c r="D62" i="4"/>
  <c r="C62" i="4"/>
  <c r="B62" i="4"/>
  <c r="AK62" i="4"/>
  <c r="AJ62" i="4"/>
  <c r="AI62" i="4"/>
  <c r="AH62" i="4"/>
  <c r="K71" i="6" l="1"/>
  <c r="N71" i="6"/>
  <c r="L71" i="6"/>
  <c r="J71" i="6"/>
  <c r="H71" i="6"/>
  <c r="F71" i="6"/>
  <c r="O71" i="6"/>
  <c r="M71" i="6"/>
  <c r="I71" i="6"/>
  <c r="G71" i="6"/>
  <c r="E71" i="6"/>
  <c r="B5" i="6" l="1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D39" i="10" l="1"/>
  <c r="C39" i="10"/>
  <c r="E14" i="8"/>
  <c r="E13" i="8" s="1"/>
  <c r="L164" i="13"/>
  <c r="C19" i="12" l="1"/>
  <c r="AN78" i="6" l="1"/>
  <c r="AO78" i="6"/>
  <c r="AP78" i="6"/>
  <c r="AQ78" i="6"/>
  <c r="AR78" i="6"/>
  <c r="AS78" i="6"/>
  <c r="AT78" i="6"/>
  <c r="AU78" i="6"/>
  <c r="AV78" i="6"/>
  <c r="AW78" i="6"/>
  <c r="AX78" i="6"/>
  <c r="AY78" i="6"/>
  <c r="AL82" i="4"/>
  <c r="AM82" i="4"/>
  <c r="AN82" i="4"/>
  <c r="AO82" i="4"/>
  <c r="AP82" i="4"/>
  <c r="AQ82" i="4"/>
  <c r="AR82" i="4"/>
  <c r="AS82" i="4"/>
  <c r="AT82" i="4"/>
  <c r="AU82" i="4"/>
  <c r="AV82" i="4"/>
  <c r="AW82" i="4"/>
  <c r="Z1" i="4"/>
  <c r="AA1" i="4"/>
  <c r="AB1" i="4"/>
  <c r="AC1" i="4"/>
  <c r="AD1" i="4"/>
  <c r="AE1" i="4"/>
  <c r="AF1" i="4"/>
  <c r="AG1" i="4"/>
  <c r="AH1" i="4"/>
  <c r="AI1" i="4"/>
  <c r="AJ1" i="4"/>
  <c r="AK1" i="4"/>
  <c r="Z2" i="4"/>
  <c r="AA2" i="4"/>
  <c r="AB2" i="4"/>
  <c r="AC2" i="4"/>
  <c r="AD2" i="4"/>
  <c r="AE2" i="4"/>
  <c r="AF2" i="4"/>
  <c r="AG2" i="4"/>
  <c r="AH2" i="4"/>
  <c r="AI2" i="4"/>
  <c r="AJ2" i="4"/>
  <c r="AK2" i="4"/>
  <c r="Z3" i="4"/>
  <c r="AA3" i="4"/>
  <c r="AB3" i="4"/>
  <c r="AC3" i="4"/>
  <c r="AD3" i="4"/>
  <c r="AE3" i="4"/>
  <c r="AF3" i="4"/>
  <c r="AG3" i="4"/>
  <c r="AH3" i="4"/>
  <c r="AI3" i="4"/>
  <c r="AJ3" i="4"/>
  <c r="AK3" i="4"/>
  <c r="Z4" i="4"/>
  <c r="AA4" i="4"/>
  <c r="AB4" i="4"/>
  <c r="AC4" i="4"/>
  <c r="AD4" i="4"/>
  <c r="AE4" i="4"/>
  <c r="AF4" i="4"/>
  <c r="AG4" i="4"/>
  <c r="AH4" i="4"/>
  <c r="AI4" i="4"/>
  <c r="AJ4" i="4"/>
  <c r="AK4" i="4"/>
  <c r="G68" i="11" l="1"/>
  <c r="G61" i="11"/>
  <c r="I60" i="11"/>
  <c r="I59" i="11"/>
  <c r="I58" i="11"/>
  <c r="I57" i="11"/>
  <c r="I56" i="11"/>
  <c r="I49" i="11"/>
  <c r="I48" i="11"/>
  <c r="I47" i="11"/>
  <c r="I46" i="11"/>
  <c r="G50" i="11"/>
  <c r="I38" i="11"/>
  <c r="I37" i="11"/>
  <c r="G39" i="11"/>
  <c r="G30" i="11"/>
  <c r="I29" i="11"/>
  <c r="E29" i="11"/>
  <c r="D29" i="11"/>
  <c r="I28" i="11"/>
  <c r="E28" i="11"/>
  <c r="D28" i="11"/>
  <c r="I27" i="11"/>
  <c r="E27" i="11"/>
  <c r="D27" i="11"/>
  <c r="I25" i="11"/>
  <c r="I24" i="11"/>
  <c r="I23" i="11"/>
  <c r="I17" i="11"/>
  <c r="G12" i="11"/>
  <c r="I11" i="11"/>
  <c r="E11" i="11"/>
  <c r="D11" i="11"/>
  <c r="I10" i="11"/>
  <c r="E10" i="11"/>
  <c r="D10" i="11"/>
  <c r="I8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s="1"/>
  <c r="A67" i="11" s="1"/>
  <c r="A68" i="11" s="1"/>
  <c r="A70" i="11" s="1"/>
  <c r="I7" i="11"/>
  <c r="I61" i="11" l="1"/>
  <c r="I30" i="11"/>
  <c r="I12" i="11"/>
  <c r="I36" i="11"/>
  <c r="I39" i="11" s="1"/>
  <c r="I45" i="11"/>
  <c r="I50" i="11" s="1"/>
  <c r="I67" i="11"/>
  <c r="I68" i="11" s="1"/>
  <c r="AI57" i="6" l="1"/>
  <c r="I12" i="8"/>
  <c r="I14" i="8"/>
  <c r="I9" i="8"/>
  <c r="G15" i="8"/>
  <c r="I15" i="8" s="1"/>
  <c r="G12" i="8"/>
  <c r="G11" i="8"/>
  <c r="I11" i="8" s="1"/>
  <c r="G10" i="8"/>
  <c r="I10" i="8" s="1"/>
  <c r="G9" i="8"/>
  <c r="G13" i="8"/>
  <c r="I13" i="8" s="1"/>
  <c r="AE39" i="6" l="1"/>
  <c r="AE25" i="6"/>
  <c r="AG15" i="6"/>
  <c r="AE15" i="6"/>
  <c r="AE43" i="6"/>
  <c r="AG8" i="6"/>
  <c r="AG34" i="6"/>
  <c r="AG7" i="6"/>
  <c r="AI51" i="6"/>
  <c r="AI48" i="6"/>
  <c r="AI18" i="6"/>
  <c r="AI41" i="6"/>
  <c r="AR12" i="4"/>
  <c r="AB9" i="6"/>
  <c r="AE17" i="6"/>
  <c r="AE36" i="6"/>
  <c r="AG25" i="6"/>
  <c r="AG10" i="6"/>
  <c r="AG40" i="6"/>
  <c r="AG22" i="6"/>
  <c r="AI54" i="6"/>
  <c r="AI28" i="6"/>
  <c r="AI33" i="6"/>
  <c r="AR14" i="4"/>
  <c r="AB11" i="6"/>
  <c r="AB34" i="6"/>
  <c r="AR37" i="4"/>
  <c r="AB27" i="6"/>
  <c r="AR30" i="4"/>
  <c r="AB8" i="6"/>
  <c r="AR11" i="4"/>
  <c r="AB47" i="6"/>
  <c r="AD29" i="6"/>
  <c r="AD34" i="6"/>
  <c r="AD33" i="6"/>
  <c r="AD13" i="6"/>
  <c r="AD27" i="6"/>
  <c r="AD18" i="6"/>
  <c r="AD19" i="6"/>
  <c r="AF46" i="6"/>
  <c r="AF41" i="6"/>
  <c r="AF5" i="6"/>
  <c r="AF49" i="6"/>
  <c r="AF13" i="6"/>
  <c r="AH50" i="6"/>
  <c r="AH34" i="6"/>
  <c r="AH26" i="6"/>
  <c r="AH45" i="6"/>
  <c r="AH22" i="6"/>
  <c r="AH49" i="6"/>
  <c r="AC21" i="6"/>
  <c r="AC53" i="6"/>
  <c r="AC17" i="6"/>
  <c r="AE40" i="6"/>
  <c r="AC39" i="6"/>
  <c r="AC10" i="6"/>
  <c r="AC19" i="6"/>
  <c r="AC14" i="6"/>
  <c r="AE32" i="6"/>
  <c r="AE18" i="6"/>
  <c r="AE33" i="6"/>
  <c r="AG9" i="6"/>
  <c r="AG52" i="6"/>
  <c r="AG16" i="6"/>
  <c r="AI14" i="6"/>
  <c r="AI13" i="6"/>
  <c r="AI20" i="6"/>
  <c r="AI72" i="6"/>
  <c r="AG82" i="4" s="1"/>
  <c r="AB51" i="6"/>
  <c r="AR13" i="4"/>
  <c r="AB10" i="6"/>
  <c r="AB48" i="6"/>
  <c r="AD12" i="6"/>
  <c r="AD42" i="6"/>
  <c r="AD8" i="6"/>
  <c r="AF39" i="6"/>
  <c r="AF52" i="6"/>
  <c r="AF57" i="6"/>
  <c r="AH32" i="6"/>
  <c r="AH13" i="6"/>
  <c r="AH38" i="6"/>
  <c r="AH8" i="6"/>
  <c r="AE7" i="6"/>
  <c r="AE6" i="6"/>
  <c r="AE52" i="6"/>
  <c r="AE11" i="6"/>
  <c r="AG21" i="6"/>
  <c r="AG27" i="6"/>
  <c r="AG42" i="6"/>
  <c r="AG29" i="6"/>
  <c r="AG41" i="6"/>
  <c r="AG12" i="6"/>
  <c r="AG72" i="6"/>
  <c r="AE82" i="4" s="1"/>
  <c r="AE42" i="6"/>
  <c r="AG19" i="6"/>
  <c r="AG20" i="6"/>
  <c r="AI11" i="6"/>
  <c r="AG62" i="4"/>
  <c r="AI5" i="6"/>
  <c r="AI26" i="6"/>
  <c r="AB46" i="6"/>
  <c r="AB15" i="6"/>
  <c r="AR18" i="4"/>
  <c r="AE21" i="6"/>
  <c r="AE5" i="6"/>
  <c r="AC62" i="4"/>
  <c r="AG24" i="6"/>
  <c r="AG33" i="6"/>
  <c r="AG49" i="6"/>
  <c r="AI15" i="6"/>
  <c r="AI19" i="6"/>
  <c r="AI32" i="6"/>
  <c r="AB19" i="6"/>
  <c r="AR22" i="4"/>
  <c r="AB36" i="6"/>
  <c r="AR39" i="4"/>
  <c r="AB38" i="6"/>
  <c r="AR41" i="4"/>
  <c r="AB30" i="6"/>
  <c r="AR33" i="4"/>
  <c r="AR24" i="4"/>
  <c r="AB21" i="6"/>
  <c r="AB72" i="6"/>
  <c r="AD51" i="6"/>
  <c r="AD39" i="6"/>
  <c r="AD53" i="6"/>
  <c r="AD16" i="6"/>
  <c r="AD57" i="6"/>
  <c r="AD26" i="6"/>
  <c r="AF54" i="6"/>
  <c r="AF15" i="6"/>
  <c r="AF10" i="6"/>
  <c r="AF34" i="6"/>
  <c r="AF35" i="6"/>
  <c r="AF43" i="6"/>
  <c r="AF22" i="6"/>
  <c r="AH15" i="6"/>
  <c r="AH16" i="6"/>
  <c r="AH52" i="6"/>
  <c r="AH51" i="6"/>
  <c r="AH54" i="6"/>
  <c r="AC23" i="6"/>
  <c r="AC30" i="6"/>
  <c r="AC9" i="6"/>
  <c r="AC32" i="6"/>
  <c r="AE37" i="6"/>
  <c r="AC35" i="6"/>
  <c r="AC12" i="6"/>
  <c r="AC40" i="6"/>
  <c r="AE34" i="6"/>
  <c r="AE41" i="6"/>
  <c r="AE51" i="6"/>
  <c r="AG13" i="6"/>
  <c r="AG26" i="6"/>
  <c r="AE62" i="4"/>
  <c r="AG5" i="6"/>
  <c r="AG38" i="6"/>
  <c r="AI30" i="6"/>
  <c r="AI36" i="6"/>
  <c r="AI46" i="6"/>
  <c r="AB53" i="6"/>
  <c r="AB23" i="6"/>
  <c r="AR26" i="4"/>
  <c r="AR27" i="4"/>
  <c r="AB24" i="6"/>
  <c r="AD41" i="6"/>
  <c r="AD20" i="6"/>
  <c r="AD43" i="6"/>
  <c r="AD35" i="6"/>
  <c r="AF28" i="6"/>
  <c r="AF29" i="6"/>
  <c r="AF36" i="6"/>
  <c r="AH47" i="6"/>
  <c r="AH5" i="6"/>
  <c r="AF62" i="4"/>
  <c r="AH46" i="6"/>
  <c r="AE13" i="6"/>
  <c r="AE50" i="6"/>
  <c r="AE12" i="6"/>
  <c r="AE35" i="6"/>
  <c r="AG37" i="6"/>
  <c r="AG35" i="6"/>
  <c r="AG32" i="6"/>
  <c r="AG50" i="6"/>
  <c r="AG39" i="6"/>
  <c r="AG14" i="6"/>
  <c r="AI12" i="6"/>
  <c r="AG53" i="6"/>
  <c r="AI49" i="6"/>
  <c r="AI38" i="6"/>
  <c r="AI29" i="6"/>
  <c r="AI7" i="6"/>
  <c r="AI40" i="6"/>
  <c r="AI39" i="6"/>
  <c r="AI9" i="6"/>
  <c r="AR9" i="4"/>
  <c r="AB6" i="6"/>
  <c r="AB54" i="6"/>
  <c r="AB35" i="6"/>
  <c r="AR38" i="4"/>
  <c r="AB22" i="6"/>
  <c r="AR25" i="4"/>
  <c r="AB40" i="6"/>
  <c r="AR43" i="4"/>
  <c r="AR34" i="4"/>
  <c r="AB31" i="6"/>
  <c r="AD36" i="6"/>
  <c r="AD28" i="6"/>
  <c r="AD7" i="6"/>
  <c r="AD5" i="6"/>
  <c r="AB62" i="4"/>
  <c r="AD6" i="6"/>
  <c r="AD24" i="6"/>
  <c r="AD48" i="6"/>
  <c r="AF12" i="6"/>
  <c r="AF51" i="6"/>
  <c r="AF7" i="6"/>
  <c r="AF8" i="6"/>
  <c r="AF37" i="6"/>
  <c r="AF11" i="6"/>
  <c r="AF72" i="6"/>
  <c r="AD82" i="4" s="1"/>
  <c r="AH36" i="6"/>
  <c r="AH29" i="6"/>
  <c r="AH21" i="6"/>
  <c r="AH53" i="6"/>
  <c r="AH33" i="6"/>
  <c r="AC48" i="6"/>
  <c r="AC26" i="6"/>
  <c r="AC31" i="6"/>
  <c r="AC72" i="6"/>
  <c r="AA82" i="4" s="1"/>
  <c r="AE16" i="6"/>
  <c r="AA62" i="4"/>
  <c r="AC5" i="6"/>
  <c r="AC25" i="6"/>
  <c r="AC45" i="6"/>
  <c r="AE47" i="6"/>
  <c r="AE31" i="6"/>
  <c r="AE29" i="6"/>
  <c r="AG57" i="6"/>
  <c r="AG47" i="6"/>
  <c r="AG23" i="6"/>
  <c r="AI45" i="6"/>
  <c r="AI23" i="6"/>
  <c r="AI34" i="6"/>
  <c r="AI35" i="6"/>
  <c r="AB25" i="6"/>
  <c r="AR28" i="4"/>
  <c r="AB12" i="6"/>
  <c r="AR15" i="4"/>
  <c r="AB37" i="6"/>
  <c r="AR40" i="4"/>
  <c r="AD30" i="6"/>
  <c r="AD15" i="6"/>
  <c r="AD44" i="6"/>
  <c r="AF17" i="6"/>
  <c r="AF26" i="6"/>
  <c r="AF48" i="6"/>
  <c r="AF38" i="6"/>
  <c r="AH28" i="6"/>
  <c r="AH57" i="6"/>
  <c r="AH31" i="6"/>
  <c r="AH43" i="6"/>
  <c r="AH14" i="6"/>
  <c r="AC27" i="6"/>
  <c r="AC11" i="6"/>
  <c r="AC13" i="6"/>
  <c r="AC28" i="6"/>
  <c r="AC7" i="6"/>
  <c r="AC57" i="6"/>
  <c r="AC38" i="6"/>
  <c r="AE10" i="6"/>
  <c r="AE24" i="6"/>
  <c r="AC18" i="6"/>
  <c r="AC47" i="6"/>
  <c r="AC51" i="6"/>
  <c r="AC34" i="6"/>
  <c r="AC6" i="6"/>
  <c r="AC8" i="6"/>
  <c r="AE22" i="6"/>
  <c r="AE26" i="6"/>
  <c r="AE46" i="6"/>
  <c r="AE44" i="6"/>
  <c r="AE9" i="6"/>
  <c r="AE20" i="6"/>
  <c r="AE48" i="6"/>
  <c r="AG46" i="6"/>
  <c r="AG48" i="6"/>
  <c r="AG28" i="6"/>
  <c r="AG44" i="6"/>
  <c r="AG54" i="6"/>
  <c r="AG30" i="6"/>
  <c r="AG6" i="6"/>
  <c r="AI8" i="6"/>
  <c r="AI22" i="6"/>
  <c r="AI52" i="6"/>
  <c r="AI16" i="6"/>
  <c r="AI10" i="6"/>
  <c r="AI25" i="6"/>
  <c r="AR42" i="4"/>
  <c r="AB39" i="6"/>
  <c r="AB50" i="6"/>
  <c r="AB49" i="6"/>
  <c r="AB26" i="6"/>
  <c r="AR29" i="4"/>
  <c r="AB57" i="6"/>
  <c r="AR8" i="4"/>
  <c r="AB5" i="6"/>
  <c r="Z62" i="4"/>
  <c r="AD17" i="6"/>
  <c r="AD23" i="6"/>
  <c r="AD22" i="6"/>
  <c r="AD47" i="6"/>
  <c r="AD40" i="6"/>
  <c r="AD37" i="6"/>
  <c r="AF25" i="6"/>
  <c r="AF21" i="6"/>
  <c r="AF23" i="6"/>
  <c r="AF18" i="6"/>
  <c r="AF19" i="6"/>
  <c r="AF27" i="6"/>
  <c r="AF6" i="6"/>
  <c r="AH27" i="6"/>
  <c r="AH44" i="6"/>
  <c r="AH37" i="6"/>
  <c r="AH23" i="6"/>
  <c r="AH30" i="6"/>
  <c r="AI6" i="6"/>
  <c r="AI37" i="6"/>
  <c r="AI47" i="6"/>
  <c r="AI27" i="6"/>
  <c r="AI31" i="6"/>
  <c r="AB43" i="6"/>
  <c r="AR46" i="4"/>
  <c r="AR44" i="4"/>
  <c r="AB41" i="6"/>
  <c r="AB33" i="6"/>
  <c r="AR36" i="4"/>
  <c r="AB28" i="6"/>
  <c r="AR31" i="4"/>
  <c r="AB29" i="6"/>
  <c r="AR32" i="4"/>
  <c r="AB52" i="6"/>
  <c r="AR35" i="4"/>
  <c r="AB32" i="6"/>
  <c r="AD9" i="6"/>
  <c r="AD52" i="6"/>
  <c r="AD31" i="6"/>
  <c r="AD45" i="6"/>
  <c r="AD49" i="6"/>
  <c r="AD25" i="6"/>
  <c r="AF44" i="6"/>
  <c r="AF50" i="6"/>
  <c r="AF42" i="6"/>
  <c r="AF20" i="6"/>
  <c r="AF16" i="6"/>
  <c r="AF14" i="6"/>
  <c r="AF53" i="6"/>
  <c r="AH7" i="6"/>
  <c r="AH39" i="6"/>
  <c r="AH40" i="6"/>
  <c r="AH11" i="6"/>
  <c r="AH24" i="6"/>
  <c r="AH41" i="6"/>
  <c r="AC43" i="6"/>
  <c r="AC22" i="6"/>
  <c r="AC24" i="6"/>
  <c r="AE14" i="6"/>
  <c r="AC37" i="6"/>
  <c r="AC20" i="6"/>
  <c r="AC33" i="6"/>
  <c r="AE57" i="6"/>
  <c r="AE54" i="6"/>
  <c r="AE28" i="6"/>
  <c r="AE19" i="6"/>
  <c r="AG11" i="6"/>
  <c r="AG31" i="6"/>
  <c r="AI24" i="6"/>
  <c r="AI21" i="6"/>
  <c r="AI42" i="6"/>
  <c r="AR45" i="4"/>
  <c r="AB42" i="6"/>
  <c r="AB17" i="6"/>
  <c r="AR20" i="4"/>
  <c r="AR16" i="4"/>
  <c r="AB13" i="6"/>
  <c r="AB16" i="6"/>
  <c r="AR19" i="4"/>
  <c r="AD54" i="6"/>
  <c r="AD32" i="6"/>
  <c r="AD38" i="6"/>
  <c r="AF31" i="6"/>
  <c r="AF47" i="6"/>
  <c r="AF33" i="6"/>
  <c r="AH42" i="6"/>
  <c r="AH19" i="6"/>
  <c r="AH12" i="6"/>
  <c r="AH72" i="6"/>
  <c r="AF82" i="4" s="1"/>
  <c r="AH20" i="6"/>
  <c r="AH9" i="6"/>
  <c r="AC52" i="6"/>
  <c r="AC44" i="6"/>
  <c r="AC36" i="6"/>
  <c r="AC41" i="6"/>
  <c r="AC46" i="6"/>
  <c r="AC49" i="6"/>
  <c r="AE30" i="6"/>
  <c r="AE38" i="6"/>
  <c r="AC50" i="6"/>
  <c r="AC54" i="6"/>
  <c r="AC29" i="6"/>
  <c r="AC15" i="6"/>
  <c r="AC42" i="6"/>
  <c r="AC16" i="6"/>
  <c r="AE8" i="6"/>
  <c r="AE45" i="6"/>
  <c r="AE23" i="6"/>
  <c r="AE53" i="6"/>
  <c r="AE49" i="6"/>
  <c r="AE27" i="6"/>
  <c r="AE72" i="6"/>
  <c r="AC82" i="4" s="1"/>
  <c r="AG43" i="6"/>
  <c r="AG36" i="6"/>
  <c r="AG18" i="6"/>
  <c r="AG17" i="6"/>
  <c r="AG51" i="6"/>
  <c r="AG45" i="6"/>
  <c r="AI43" i="6"/>
  <c r="AI53" i="6"/>
  <c r="AI44" i="6"/>
  <c r="AI50" i="6"/>
  <c r="AI17" i="6"/>
  <c r="AR17" i="4"/>
  <c r="AB14" i="6"/>
  <c r="AB18" i="6"/>
  <c r="AR21" i="4"/>
  <c r="AB20" i="6"/>
  <c r="AR23" i="4"/>
  <c r="AB44" i="6"/>
  <c r="AB7" i="6"/>
  <c r="AR10" i="4"/>
  <c r="AB45" i="6"/>
  <c r="AD21" i="6"/>
  <c r="AD10" i="6"/>
  <c r="AD50" i="6"/>
  <c r="AD14" i="6"/>
  <c r="AD11" i="6"/>
  <c r="AD46" i="6"/>
  <c r="AD72" i="6"/>
  <c r="AF45" i="6"/>
  <c r="AF40" i="6"/>
  <c r="AF9" i="6"/>
  <c r="AF32" i="6"/>
  <c r="AF30" i="6"/>
  <c r="AF24" i="6"/>
  <c r="AH35" i="6"/>
  <c r="AH18" i="6"/>
  <c r="AH10" i="6"/>
  <c r="AH48" i="6"/>
  <c r="AH6" i="6"/>
  <c r="AH17" i="6"/>
  <c r="AH25" i="6"/>
  <c r="Y78" i="6"/>
  <c r="Z82" i="4"/>
  <c r="AB82" i="4"/>
  <c r="AH82" i="4"/>
  <c r="AI82" i="4"/>
  <c r="AJ82" i="4"/>
  <c r="AK82" i="4"/>
  <c r="AE71" i="6" l="1"/>
  <c r="AI71" i="6"/>
  <c r="AF71" i="6"/>
  <c r="AC71" i="6"/>
  <c r="AD71" i="6"/>
  <c r="AH71" i="6"/>
  <c r="AG71" i="6"/>
  <c r="AB71" i="6"/>
  <c r="AR62" i="4"/>
  <c r="AP81" i="4" s="1"/>
  <c r="AP10" i="4"/>
  <c r="AP9" i="4"/>
  <c r="AP8" i="4"/>
  <c r="AA81" i="4" l="1"/>
  <c r="AD81" i="4"/>
  <c r="AK81" i="4"/>
  <c r="AU81" i="4"/>
  <c r="AG81" i="4"/>
  <c r="AJ81" i="4"/>
  <c r="AE81" i="4"/>
  <c r="AM81" i="4"/>
  <c r="AH81" i="4"/>
  <c r="AL81" i="4"/>
  <c r="AB81" i="4"/>
  <c r="AV81" i="4"/>
  <c r="AQ81" i="4"/>
  <c r="AW81" i="4"/>
  <c r="AS81" i="4"/>
  <c r="AN81" i="4"/>
  <c r="AI81" i="4"/>
  <c r="AC81" i="4"/>
  <c r="AF81" i="4"/>
  <c r="Z81" i="4"/>
  <c r="AR81" i="4"/>
  <c r="AT81" i="4"/>
  <c r="AO81" i="4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E10" i="10" l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B75" i="4"/>
  <c r="A30" i="6" l="1"/>
  <c r="A31" i="6" s="1"/>
  <c r="A32" i="6" s="1"/>
  <c r="A33" i="6" s="1"/>
  <c r="A34" i="6" s="1"/>
  <c r="A35" i="6" l="1"/>
  <c r="A36" i="6" s="1"/>
  <c r="A37" i="6" s="1"/>
  <c r="A38" i="6" s="1"/>
  <c r="A39" i="6" s="1"/>
  <c r="A40" i="6" s="1"/>
  <c r="A41" i="6" s="1"/>
  <c r="A42" i="6" s="1"/>
  <c r="A43" i="6" s="1"/>
  <c r="A44" i="6" l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W82" i="4"/>
  <c r="A67" i="6" l="1"/>
  <c r="A68" i="6" s="1"/>
  <c r="A69" i="6" s="1"/>
  <c r="A70" i="6" s="1"/>
  <c r="A71" i="6" s="1"/>
  <c r="A72" i="6" s="1"/>
  <c r="A73" i="6" s="1"/>
  <c r="A74" i="6" s="1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D5" i="6" l="1"/>
  <c r="D71" i="6" s="1"/>
  <c r="AL77" i="4" l="1"/>
  <c r="AT77" i="4"/>
  <c r="AR77" i="4"/>
  <c r="AM77" i="4"/>
  <c r="AU77" i="4"/>
  <c r="AS77" i="4"/>
  <c r="AN77" i="4"/>
  <c r="AV77" i="4"/>
  <c r="AO77" i="4"/>
  <c r="AW77" i="4"/>
  <c r="AP77" i="4"/>
  <c r="AQ77" i="4"/>
  <c r="C77" i="4"/>
  <c r="B77" i="4"/>
  <c r="D77" i="4"/>
  <c r="F77" i="4"/>
  <c r="H77" i="4"/>
  <c r="J77" i="4"/>
  <c r="L77" i="4"/>
  <c r="N77" i="4"/>
  <c r="P77" i="4"/>
  <c r="R77" i="4"/>
  <c r="T77" i="4"/>
  <c r="V77" i="4"/>
  <c r="Y77" i="4"/>
  <c r="AA77" i="4"/>
  <c r="AC77" i="4"/>
  <c r="AE77" i="4"/>
  <c r="AG77" i="4"/>
  <c r="AI77" i="4"/>
  <c r="AK77" i="4"/>
  <c r="E77" i="4"/>
  <c r="G77" i="4"/>
  <c r="I77" i="4"/>
  <c r="K77" i="4"/>
  <c r="M77" i="4"/>
  <c r="O77" i="4"/>
  <c r="Q77" i="4"/>
  <c r="S77" i="4"/>
  <c r="U77" i="4"/>
  <c r="X77" i="4"/>
  <c r="Z77" i="4"/>
  <c r="AB77" i="4"/>
  <c r="AD77" i="4"/>
  <c r="AF77" i="4"/>
  <c r="AH77" i="4"/>
  <c r="AJ77" i="4"/>
  <c r="W77" i="4"/>
  <c r="AP62" i="4"/>
  <c r="AP63" i="4" s="1"/>
  <c r="D76" i="6"/>
  <c r="D77" i="6" s="1"/>
  <c r="D24" i="10" l="1"/>
  <c r="E19" i="10"/>
  <c r="E18" i="10"/>
  <c r="E17" i="10"/>
  <c r="E16" i="10"/>
  <c r="E15" i="10"/>
  <c r="E14" i="10"/>
  <c r="E13" i="10"/>
  <c r="E21" i="10"/>
  <c r="E20" i="10"/>
  <c r="E12" i="10"/>
  <c r="E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Q27" i="6" l="1"/>
  <c r="Q23" i="6"/>
  <c r="S37" i="6"/>
  <c r="S15" i="6"/>
  <c r="U53" i="6"/>
  <c r="Q21" i="6"/>
  <c r="Q22" i="6"/>
  <c r="Q52" i="6"/>
  <c r="Q12" i="6"/>
  <c r="S51" i="6"/>
  <c r="S10" i="6"/>
  <c r="S21" i="6"/>
  <c r="U19" i="6"/>
  <c r="U40" i="6"/>
  <c r="U21" i="6"/>
  <c r="U18" i="6"/>
  <c r="W36" i="6"/>
  <c r="W18" i="6"/>
  <c r="W45" i="6"/>
  <c r="Y26" i="6"/>
  <c r="Y51" i="6"/>
  <c r="Y42" i="6"/>
  <c r="Y24" i="6"/>
  <c r="AA10" i="6"/>
  <c r="AA20" i="6"/>
  <c r="AA19" i="6"/>
  <c r="Q46" i="6"/>
  <c r="Q9" i="6"/>
  <c r="Q48" i="6"/>
  <c r="Q31" i="6"/>
  <c r="Q53" i="6"/>
  <c r="Q36" i="6"/>
  <c r="S28" i="6"/>
  <c r="S11" i="6"/>
  <c r="S17" i="6"/>
  <c r="S35" i="6"/>
  <c r="S8" i="6"/>
  <c r="S18" i="6"/>
  <c r="S50" i="6"/>
  <c r="U32" i="6"/>
  <c r="U49" i="6"/>
  <c r="U22" i="6"/>
  <c r="U51" i="6"/>
  <c r="U8" i="6"/>
  <c r="U26" i="6"/>
  <c r="W42" i="6"/>
  <c r="W23" i="6"/>
  <c r="W28" i="6"/>
  <c r="W22" i="6"/>
  <c r="W57" i="6"/>
  <c r="W53" i="6"/>
  <c r="W52" i="6"/>
  <c r="Y53" i="6"/>
  <c r="Y20" i="6"/>
  <c r="Y6" i="6"/>
  <c r="W62" i="4"/>
  <c r="Y5" i="6"/>
  <c r="Y41" i="6"/>
  <c r="Y45" i="6"/>
  <c r="AA31" i="6"/>
  <c r="AA18" i="6"/>
  <c r="AA41" i="6"/>
  <c r="AA32" i="6"/>
  <c r="AA49" i="6"/>
  <c r="AA11" i="6"/>
  <c r="P19" i="6"/>
  <c r="AL22" i="4"/>
  <c r="AQ22" i="4"/>
  <c r="P16" i="6"/>
  <c r="AQ19" i="4"/>
  <c r="AL19" i="4"/>
  <c r="P10" i="6"/>
  <c r="AQ13" i="4"/>
  <c r="AL13" i="4"/>
  <c r="R21" i="6"/>
  <c r="R19" i="6"/>
  <c r="R18" i="6"/>
  <c r="T19" i="6"/>
  <c r="T33" i="6"/>
  <c r="T29" i="6"/>
  <c r="T34" i="6"/>
  <c r="V18" i="6"/>
  <c r="V32" i="6"/>
  <c r="V44" i="6"/>
  <c r="X20" i="6"/>
  <c r="Q32" i="6"/>
  <c r="S40" i="6"/>
  <c r="S47" i="6"/>
  <c r="U14" i="6"/>
  <c r="U5" i="6"/>
  <c r="S62" i="4"/>
  <c r="W49" i="6"/>
  <c r="W38" i="6"/>
  <c r="W24" i="6"/>
  <c r="W21" i="6"/>
  <c r="Y22" i="6"/>
  <c r="Y30" i="6"/>
  <c r="Y47" i="6"/>
  <c r="AA34" i="6"/>
  <c r="AA9" i="6"/>
  <c r="AA16" i="6"/>
  <c r="Q41" i="6"/>
  <c r="Q8" i="6"/>
  <c r="Q47" i="6"/>
  <c r="Q6" i="6"/>
  <c r="Q25" i="6"/>
  <c r="Q54" i="6"/>
  <c r="S30" i="6"/>
  <c r="S9" i="6"/>
  <c r="S45" i="6"/>
  <c r="S46" i="6"/>
  <c r="S26" i="6"/>
  <c r="S39" i="6"/>
  <c r="U39" i="6"/>
  <c r="U12" i="6"/>
  <c r="U17" i="6"/>
  <c r="U23" i="6"/>
  <c r="U52" i="6"/>
  <c r="U44" i="6"/>
  <c r="U47" i="6"/>
  <c r="W35" i="6"/>
  <c r="W33" i="6"/>
  <c r="W25" i="6"/>
  <c r="W54" i="6"/>
  <c r="W12" i="6"/>
  <c r="W11" i="6"/>
  <c r="Y33" i="6"/>
  <c r="Y23" i="6"/>
  <c r="Y52" i="6"/>
  <c r="Y14" i="6"/>
  <c r="Y27" i="6"/>
  <c r="Y48" i="6"/>
  <c r="Y57" i="6"/>
  <c r="AA36" i="6"/>
  <c r="AA46" i="6"/>
  <c r="AA28" i="6"/>
  <c r="AA38" i="6"/>
  <c r="AA54" i="6"/>
  <c r="P13" i="6"/>
  <c r="AQ16" i="4"/>
  <c r="AL16" i="4"/>
  <c r="P40" i="6"/>
  <c r="AQ43" i="4"/>
  <c r="AL43" i="4"/>
  <c r="AL26" i="4"/>
  <c r="P23" i="6"/>
  <c r="AQ26" i="4"/>
  <c r="R43" i="6"/>
  <c r="R10" i="6"/>
  <c r="R29" i="6"/>
  <c r="T14" i="6"/>
  <c r="T53" i="6"/>
  <c r="T21" i="6"/>
  <c r="V12" i="6"/>
  <c r="V43" i="6"/>
  <c r="V40" i="6"/>
  <c r="X37" i="6"/>
  <c r="X7" i="6"/>
  <c r="AA5" i="6"/>
  <c r="Y62" i="4"/>
  <c r="AA48" i="6"/>
  <c r="P52" i="6"/>
  <c r="AL55" i="4"/>
  <c r="P38" i="6"/>
  <c r="AL41" i="4"/>
  <c r="AQ41" i="4"/>
  <c r="P11" i="6"/>
  <c r="AL14" i="4"/>
  <c r="AQ14" i="4"/>
  <c r="P41" i="6"/>
  <c r="AL44" i="4"/>
  <c r="AQ44" i="4"/>
  <c r="P18" i="6"/>
  <c r="AL21" i="4"/>
  <c r="AQ21" i="4"/>
  <c r="P51" i="6"/>
  <c r="AL54" i="4"/>
  <c r="R8" i="6"/>
  <c r="R53" i="6"/>
  <c r="R14" i="6"/>
  <c r="R28" i="6"/>
  <c r="R16" i="6"/>
  <c r="R7" i="6"/>
  <c r="R9" i="6"/>
  <c r="T9" i="6"/>
  <c r="T54" i="6"/>
  <c r="T57" i="6"/>
  <c r="T48" i="6"/>
  <c r="T51" i="6"/>
  <c r="T10" i="6"/>
  <c r="V14" i="6"/>
  <c r="V17" i="6"/>
  <c r="V20" i="6"/>
  <c r="V22" i="6"/>
  <c r="V47" i="6"/>
  <c r="V39" i="6"/>
  <c r="V37" i="6"/>
  <c r="X31" i="6"/>
  <c r="X21" i="6"/>
  <c r="X6" i="6"/>
  <c r="X35" i="6"/>
  <c r="X42" i="6"/>
  <c r="X45" i="6"/>
  <c r="Z51" i="6"/>
  <c r="Z22" i="6"/>
  <c r="Z28" i="6"/>
  <c r="Z19" i="6"/>
  <c r="Z42" i="6"/>
  <c r="Z37" i="6"/>
  <c r="Z29" i="6"/>
  <c r="Q17" i="6"/>
  <c r="Q24" i="6"/>
  <c r="Q30" i="6"/>
  <c r="Q49" i="6"/>
  <c r="Q5" i="6"/>
  <c r="O62" i="4"/>
  <c r="Q10" i="6"/>
  <c r="S36" i="6"/>
  <c r="S49" i="6"/>
  <c r="S29" i="6"/>
  <c r="S57" i="6"/>
  <c r="S12" i="6"/>
  <c r="S31" i="6"/>
  <c r="Q44" i="6"/>
  <c r="Q11" i="6"/>
  <c r="Q29" i="6"/>
  <c r="S44" i="6"/>
  <c r="S38" i="6"/>
  <c r="S13" i="6"/>
  <c r="U11" i="6"/>
  <c r="U41" i="6"/>
  <c r="U24" i="6"/>
  <c r="W34" i="6"/>
  <c r="W16" i="6"/>
  <c r="W31" i="6"/>
  <c r="Y21" i="6"/>
  <c r="Y31" i="6"/>
  <c r="Y37" i="6"/>
  <c r="AA45" i="6"/>
  <c r="AA17" i="6"/>
  <c r="AA14" i="6"/>
  <c r="AA29" i="6"/>
  <c r="AQ12" i="4"/>
  <c r="P9" i="6"/>
  <c r="AL12" i="4"/>
  <c r="P48" i="6"/>
  <c r="AL51" i="4"/>
  <c r="AQ9" i="4"/>
  <c r="P6" i="6"/>
  <c r="AL9" i="4"/>
  <c r="AL48" i="4"/>
  <c r="P45" i="6"/>
  <c r="P54" i="6"/>
  <c r="AL57" i="4"/>
  <c r="AQ23" i="4"/>
  <c r="P20" i="6"/>
  <c r="AL23" i="4"/>
  <c r="R51" i="6"/>
  <c r="R22" i="6"/>
  <c r="R40" i="6"/>
  <c r="R48" i="6"/>
  <c r="R42" i="6"/>
  <c r="R47" i="6"/>
  <c r="R31" i="6"/>
  <c r="T39" i="6"/>
  <c r="T49" i="6"/>
  <c r="T32" i="6"/>
  <c r="T27" i="6"/>
  <c r="T16" i="6"/>
  <c r="T52" i="6"/>
  <c r="V38" i="6"/>
  <c r="V27" i="6"/>
  <c r="V25" i="6"/>
  <c r="V54" i="6"/>
  <c r="V35" i="6"/>
  <c r="T62" i="4"/>
  <c r="V5" i="6"/>
  <c r="X53" i="6"/>
  <c r="X51" i="6"/>
  <c r="X39" i="6"/>
  <c r="X29" i="6"/>
  <c r="X46" i="6"/>
  <c r="X16" i="6"/>
  <c r="Z23" i="6"/>
  <c r="Z53" i="6"/>
  <c r="Z30" i="6"/>
  <c r="Z36" i="6"/>
  <c r="Z48" i="6"/>
  <c r="Z20" i="6"/>
  <c r="Q37" i="6"/>
  <c r="Q43" i="6"/>
  <c r="Q34" i="6"/>
  <c r="Q45" i="6"/>
  <c r="Q15" i="6"/>
  <c r="Q39" i="6"/>
  <c r="Q28" i="6"/>
  <c r="S14" i="6"/>
  <c r="S24" i="6"/>
  <c r="S53" i="6"/>
  <c r="S33" i="6"/>
  <c r="S23" i="6"/>
  <c r="U46" i="6"/>
  <c r="U57" i="6"/>
  <c r="U31" i="6"/>
  <c r="U37" i="6"/>
  <c r="U29" i="6"/>
  <c r="U34" i="6"/>
  <c r="W6" i="6"/>
  <c r="W17" i="6"/>
  <c r="W9" i="6"/>
  <c r="W39" i="6"/>
  <c r="W50" i="6"/>
  <c r="W44" i="6"/>
  <c r="Y17" i="6"/>
  <c r="Y19" i="6"/>
  <c r="Y25" i="6"/>
  <c r="Y46" i="6"/>
  <c r="Y15" i="6"/>
  <c r="Y35" i="6"/>
  <c r="Y40" i="6"/>
  <c r="AA43" i="6"/>
  <c r="AA39" i="6"/>
  <c r="AA35" i="6"/>
  <c r="AA53" i="6"/>
  <c r="AA27" i="6"/>
  <c r="AA23" i="6"/>
  <c r="AL24" i="4"/>
  <c r="P21" i="6"/>
  <c r="AQ24" i="4"/>
  <c r="AL52" i="4"/>
  <c r="P49" i="6"/>
  <c r="AQ27" i="4"/>
  <c r="AL27" i="4"/>
  <c r="P24" i="6"/>
  <c r="P30" i="6"/>
  <c r="AL33" i="4"/>
  <c r="AQ33" i="4"/>
  <c r="AL10" i="4"/>
  <c r="P7" i="6"/>
  <c r="AQ10" i="4"/>
  <c r="P50" i="6"/>
  <c r="AL53" i="4"/>
  <c r="AQ31" i="4"/>
  <c r="P28" i="6"/>
  <c r="AL31" i="4"/>
  <c r="R57" i="6"/>
  <c r="R27" i="6"/>
  <c r="R17" i="6"/>
  <c r="R37" i="6"/>
  <c r="R52" i="6"/>
  <c r="R54" i="6"/>
  <c r="T15" i="6"/>
  <c r="T36" i="6"/>
  <c r="T17" i="6"/>
  <c r="T38" i="6"/>
  <c r="T13" i="6"/>
  <c r="T5" i="6"/>
  <c r="R62" i="4"/>
  <c r="T18" i="6"/>
  <c r="V26" i="6"/>
  <c r="V31" i="6"/>
  <c r="V19" i="6"/>
  <c r="V16" i="6"/>
  <c r="V24" i="6"/>
  <c r="V29" i="6"/>
  <c r="X5" i="6"/>
  <c r="V62" i="4"/>
  <c r="X10" i="6"/>
  <c r="X14" i="6"/>
  <c r="X52" i="6"/>
  <c r="X43" i="6"/>
  <c r="X40" i="6"/>
  <c r="Z49" i="6"/>
  <c r="Z46" i="6"/>
  <c r="Z41" i="6"/>
  <c r="Z16" i="6"/>
  <c r="Z43" i="6"/>
  <c r="Z47" i="6"/>
  <c r="S34" i="6"/>
  <c r="S42" i="6"/>
  <c r="S54" i="6"/>
  <c r="U15" i="6"/>
  <c r="U13" i="6"/>
  <c r="U25" i="6"/>
  <c r="U35" i="6"/>
  <c r="U7" i="6"/>
  <c r="U48" i="6"/>
  <c r="W14" i="6"/>
  <c r="W48" i="6"/>
  <c r="W46" i="6"/>
  <c r="W41" i="6"/>
  <c r="W8" i="6"/>
  <c r="W32" i="6"/>
  <c r="U62" i="4"/>
  <c r="W5" i="6"/>
  <c r="Y13" i="6"/>
  <c r="Y39" i="6"/>
  <c r="Y49" i="6"/>
  <c r="Y12" i="6"/>
  <c r="Y43" i="6"/>
  <c r="Y11" i="6"/>
  <c r="AA24" i="6"/>
  <c r="AA40" i="6"/>
  <c r="AA33" i="6"/>
  <c r="AA8" i="6"/>
  <c r="AA22" i="6"/>
  <c r="AA52" i="6"/>
  <c r="AA44" i="6"/>
  <c r="AQ40" i="4"/>
  <c r="P37" i="6"/>
  <c r="AL40" i="4"/>
  <c r="AQ38" i="4"/>
  <c r="P35" i="6"/>
  <c r="AL38" i="4"/>
  <c r="P57" i="6"/>
  <c r="AL60" i="4"/>
  <c r="AQ35" i="4"/>
  <c r="AL35" i="4"/>
  <c r="P32" i="6"/>
  <c r="AQ42" i="4"/>
  <c r="P39" i="6"/>
  <c r="AL42" i="4"/>
  <c r="P14" i="6"/>
  <c r="AL17" i="4"/>
  <c r="AQ17" i="4"/>
  <c r="P22" i="6"/>
  <c r="AL25" i="4"/>
  <c r="AQ25" i="4"/>
  <c r="R6" i="6"/>
  <c r="R44" i="6"/>
  <c r="R35" i="6"/>
  <c r="R26" i="6"/>
  <c r="R34" i="6"/>
  <c r="R15" i="6"/>
  <c r="T11" i="6"/>
  <c r="T30" i="6"/>
  <c r="T46" i="6"/>
  <c r="T12" i="6"/>
  <c r="T44" i="6"/>
  <c r="T37" i="6"/>
  <c r="T47" i="6"/>
  <c r="V28" i="6"/>
  <c r="V53" i="6"/>
  <c r="V9" i="6"/>
  <c r="V45" i="6"/>
  <c r="V57" i="6"/>
  <c r="V15" i="6"/>
  <c r="X13" i="6"/>
  <c r="X36" i="6"/>
  <c r="X23" i="6"/>
  <c r="X9" i="6"/>
  <c r="X17" i="6"/>
  <c r="X49" i="6"/>
  <c r="X34" i="6"/>
  <c r="Z35" i="6"/>
  <c r="Z17" i="6"/>
  <c r="Z9" i="6"/>
  <c r="Z40" i="6"/>
  <c r="Z32" i="6"/>
  <c r="Z18" i="6"/>
  <c r="X38" i="6"/>
  <c r="X41" i="6"/>
  <c r="X22" i="6"/>
  <c r="X57" i="6"/>
  <c r="Z24" i="6"/>
  <c r="Z33" i="6"/>
  <c r="Z25" i="6"/>
  <c r="Z7" i="6"/>
  <c r="Z31" i="6"/>
  <c r="Z34" i="6"/>
  <c r="Q33" i="6"/>
  <c r="Q7" i="6"/>
  <c r="Q13" i="6"/>
  <c r="Q16" i="6"/>
  <c r="Q50" i="6"/>
  <c r="Q19" i="6"/>
  <c r="Q51" i="6"/>
  <c r="S32" i="6"/>
  <c r="S27" i="6"/>
  <c r="S22" i="6"/>
  <c r="S48" i="6"/>
  <c r="S6" i="6"/>
  <c r="U16" i="6"/>
  <c r="Q40" i="6"/>
  <c r="Q14" i="6"/>
  <c r="Q18" i="6"/>
  <c r="S43" i="6"/>
  <c r="S7" i="6"/>
  <c r="U33" i="6"/>
  <c r="U28" i="6"/>
  <c r="U9" i="6"/>
  <c r="W7" i="6"/>
  <c r="W19" i="6"/>
  <c r="W29" i="6"/>
  <c r="Y54" i="6"/>
  <c r="Y28" i="6"/>
  <c r="Y16" i="6"/>
  <c r="AA51" i="6"/>
  <c r="AA50" i="6"/>
  <c r="AA37" i="6"/>
  <c r="AQ8" i="4"/>
  <c r="N62" i="4"/>
  <c r="P5" i="6"/>
  <c r="AL8" i="4"/>
  <c r="P34" i="6"/>
  <c r="AQ37" i="4"/>
  <c r="AL37" i="4"/>
  <c r="AL11" i="4"/>
  <c r="P8" i="6"/>
  <c r="AQ11" i="4"/>
  <c r="AL46" i="4"/>
  <c r="P43" i="6"/>
  <c r="AQ46" i="4"/>
  <c r="P17" i="6"/>
  <c r="AQ20" i="4"/>
  <c r="AL20" i="4"/>
  <c r="AL34" i="4"/>
  <c r="P31" i="6"/>
  <c r="AQ34" i="4"/>
  <c r="AL15" i="4"/>
  <c r="AQ15" i="4"/>
  <c r="P12" i="6"/>
  <c r="R32" i="6"/>
  <c r="R11" i="6"/>
  <c r="R49" i="6"/>
  <c r="R24" i="6"/>
  <c r="P62" i="4"/>
  <c r="R5" i="6"/>
  <c r="R39" i="6"/>
  <c r="T31" i="6"/>
  <c r="T41" i="6"/>
  <c r="T40" i="6"/>
  <c r="T22" i="6"/>
  <c r="T45" i="6"/>
  <c r="T23" i="6"/>
  <c r="T42" i="6"/>
  <c r="V30" i="6"/>
  <c r="V46" i="6"/>
  <c r="V51" i="6"/>
  <c r="V11" i="6"/>
  <c r="V8" i="6"/>
  <c r="V13" i="6"/>
  <c r="X33" i="6"/>
  <c r="X47" i="6"/>
  <c r="X44" i="6"/>
  <c r="X28" i="6"/>
  <c r="X26" i="6"/>
  <c r="X27" i="6"/>
  <c r="X24" i="6"/>
  <c r="Z54" i="6"/>
  <c r="Z27" i="6"/>
  <c r="Z50" i="6"/>
  <c r="Z57" i="6"/>
  <c r="Z10" i="6"/>
  <c r="X62" i="4"/>
  <c r="Z5" i="6"/>
  <c r="Z72" i="6"/>
  <c r="X82" i="4" s="1"/>
  <c r="AL63" i="4"/>
  <c r="Q42" i="6"/>
  <c r="Q57" i="6"/>
  <c r="Q35" i="6"/>
  <c r="Q26" i="6"/>
  <c r="Q38" i="6"/>
  <c r="Q20" i="6"/>
  <c r="S20" i="6"/>
  <c r="S25" i="6"/>
  <c r="S52" i="6"/>
  <c r="S19" i="6"/>
  <c r="S41" i="6"/>
  <c r="U43" i="6"/>
  <c r="U30" i="6"/>
  <c r="U6" i="6"/>
  <c r="U36" i="6"/>
  <c r="U10" i="6"/>
  <c r="W10" i="6"/>
  <c r="W51" i="6"/>
  <c r="W43" i="6"/>
  <c r="W26" i="6"/>
  <c r="W40" i="6"/>
  <c r="W15" i="6"/>
  <c r="W37" i="6"/>
  <c r="Y38" i="6"/>
  <c r="Y7" i="6"/>
  <c r="Y50" i="6"/>
  <c r="Y44" i="6"/>
  <c r="Y32" i="6"/>
  <c r="AA12" i="6"/>
  <c r="AA42" i="6"/>
  <c r="AA7" i="6"/>
  <c r="AA57" i="6"/>
  <c r="AA15" i="6"/>
  <c r="AA21" i="6"/>
  <c r="AA13" i="6"/>
  <c r="AL28" i="4"/>
  <c r="AQ28" i="4"/>
  <c r="P25" i="6"/>
  <c r="P26" i="6"/>
  <c r="AQ29" i="4"/>
  <c r="AL29" i="4"/>
  <c r="P33" i="6"/>
  <c r="AQ36" i="4"/>
  <c r="AL36" i="4"/>
  <c r="P53" i="6"/>
  <c r="AL56" i="4"/>
  <c r="P29" i="6"/>
  <c r="AQ32" i="4"/>
  <c r="AL32" i="4"/>
  <c r="P36" i="6"/>
  <c r="AL39" i="4"/>
  <c r="AQ39" i="4"/>
  <c r="R38" i="6"/>
  <c r="R20" i="6"/>
  <c r="R25" i="6"/>
  <c r="R41" i="6"/>
  <c r="R33" i="6"/>
  <c r="R50" i="6"/>
  <c r="T8" i="6"/>
  <c r="T43" i="6"/>
  <c r="T35" i="6"/>
  <c r="T28" i="6"/>
  <c r="T20" i="6"/>
  <c r="V49" i="6"/>
  <c r="V23" i="6"/>
  <c r="V48" i="6"/>
  <c r="V41" i="6"/>
  <c r="V34" i="6"/>
  <c r="V50" i="6"/>
  <c r="V21" i="6"/>
  <c r="X15" i="6"/>
  <c r="X18" i="6"/>
  <c r="X54" i="6"/>
  <c r="X19" i="6"/>
  <c r="X30" i="6"/>
  <c r="X32" i="6"/>
  <c r="Z11" i="6"/>
  <c r="Z38" i="6"/>
  <c r="Z14" i="6"/>
  <c r="Z8" i="6"/>
  <c r="Z39" i="6"/>
  <c r="Z52" i="6"/>
  <c r="Z44" i="6"/>
  <c r="S16" i="6"/>
  <c r="Q62" i="4"/>
  <c r="S5" i="6"/>
  <c r="U27" i="6"/>
  <c r="U45" i="6"/>
  <c r="U50" i="6"/>
  <c r="U38" i="6"/>
  <c r="U54" i="6"/>
  <c r="U20" i="6"/>
  <c r="U42" i="6"/>
  <c r="W30" i="6"/>
  <c r="W20" i="6"/>
  <c r="W47" i="6"/>
  <c r="W27" i="6"/>
  <c r="W13" i="6"/>
  <c r="Y29" i="6"/>
  <c r="Y10" i="6"/>
  <c r="Y36" i="6"/>
  <c r="Y18" i="6"/>
  <c r="Y9" i="6"/>
  <c r="Y34" i="6"/>
  <c r="Y8" i="6"/>
  <c r="AA47" i="6"/>
  <c r="AA26" i="6"/>
  <c r="AA25" i="6"/>
  <c r="AA30" i="6"/>
  <c r="AA6" i="6"/>
  <c r="AA72" i="6"/>
  <c r="Y82" i="4" s="1"/>
  <c r="P44" i="6"/>
  <c r="AL47" i="4"/>
  <c r="P47" i="6"/>
  <c r="AL50" i="4"/>
  <c r="P27" i="6"/>
  <c r="AL30" i="4"/>
  <c r="AQ30" i="4"/>
  <c r="P46" i="6"/>
  <c r="AL49" i="4"/>
  <c r="AL18" i="4"/>
  <c r="AL62" i="4" s="1"/>
  <c r="P15" i="6"/>
  <c r="AQ18" i="4"/>
  <c r="AL45" i="4"/>
  <c r="AQ45" i="4"/>
  <c r="P42" i="6"/>
  <c r="R12" i="6"/>
  <c r="R13" i="6"/>
  <c r="R30" i="6"/>
  <c r="R45" i="6"/>
  <c r="R36" i="6"/>
  <c r="R23" i="6"/>
  <c r="R46" i="6"/>
  <c r="T25" i="6"/>
  <c r="T7" i="6"/>
  <c r="T6" i="6"/>
  <c r="T24" i="6"/>
  <c r="T50" i="6"/>
  <c r="T26" i="6"/>
  <c r="V6" i="6"/>
  <c r="V33" i="6"/>
  <c r="V36" i="6"/>
  <c r="V42" i="6"/>
  <c r="V10" i="6"/>
  <c r="V7" i="6"/>
  <c r="V71" i="6" s="1"/>
  <c r="V52" i="6"/>
  <c r="X50" i="6"/>
  <c r="X25" i="6"/>
  <c r="X12" i="6"/>
  <c r="X48" i="6"/>
  <c r="X11" i="6"/>
  <c r="X8" i="6"/>
  <c r="Z12" i="6"/>
  <c r="Z6" i="6"/>
  <c r="Z45" i="6"/>
  <c r="Z15" i="6"/>
  <c r="Z26" i="6"/>
  <c r="Z21" i="6"/>
  <c r="Z13" i="6"/>
  <c r="E24" i="10"/>
  <c r="AQ62" i="4" l="1"/>
  <c r="P71" i="6"/>
  <c r="S71" i="6"/>
  <c r="R71" i="6"/>
  <c r="Y71" i="6"/>
  <c r="Z71" i="6"/>
  <c r="X71" i="6"/>
  <c r="AA71" i="6"/>
  <c r="T71" i="6"/>
  <c r="U71" i="6"/>
  <c r="Q71" i="6"/>
  <c r="AQ63" i="4"/>
  <c r="W71" i="6"/>
  <c r="I17" i="8"/>
  <c r="AL79" i="4" l="1"/>
  <c r="AL83" i="4" s="1"/>
  <c r="AN80" i="6" s="1"/>
  <c r="AP79" i="4"/>
  <c r="AP83" i="4" s="1"/>
  <c r="AR80" i="6" s="1"/>
  <c r="R79" i="4"/>
  <c r="AN79" i="4"/>
  <c r="AN83" i="4" s="1"/>
  <c r="AP80" i="6" s="1"/>
  <c r="P79" i="4"/>
  <c r="X79" i="4"/>
  <c r="X83" i="4" s="1"/>
  <c r="Z80" i="6" s="1"/>
  <c r="AW79" i="4"/>
  <c r="AW83" i="4" s="1"/>
  <c r="AY80" i="6" s="1"/>
  <c r="AS79" i="4"/>
  <c r="AS83" i="4" s="1"/>
  <c r="AU80" i="6" s="1"/>
  <c r="N79" i="4"/>
  <c r="O79" i="4"/>
  <c r="Q79" i="4"/>
  <c r="AT79" i="4"/>
  <c r="AT83" i="4" s="1"/>
  <c r="AV80" i="6" s="1"/>
  <c r="U79" i="4"/>
  <c r="AJ79" i="4"/>
  <c r="AJ83" i="4" s="1"/>
  <c r="AL80" i="6" s="1"/>
  <c r="AC79" i="4"/>
  <c r="AC83" i="4" s="1"/>
  <c r="AE80" i="6" s="1"/>
  <c r="S79" i="4"/>
  <c r="Y79" i="4"/>
  <c r="Y83" i="4" s="1"/>
  <c r="AA80" i="6" s="1"/>
  <c r="AA79" i="4"/>
  <c r="AA83" i="4" s="1"/>
  <c r="AC80" i="6" s="1"/>
  <c r="AU79" i="4"/>
  <c r="AU83" i="4" s="1"/>
  <c r="AW80" i="6" s="1"/>
  <c r="AM79" i="4"/>
  <c r="AM83" i="4" s="1"/>
  <c r="AO80" i="6" s="1"/>
  <c r="AR79" i="4"/>
  <c r="AR83" i="4" s="1"/>
  <c r="AT80" i="6" s="1"/>
  <c r="V79" i="4"/>
  <c r="Z79" i="4"/>
  <c r="Z83" i="4" s="1"/>
  <c r="AB80" i="6" s="1"/>
  <c r="AB79" i="4"/>
  <c r="AB83" i="4" s="1"/>
  <c r="AD80" i="6" s="1"/>
  <c r="AG79" i="4"/>
  <c r="AG83" i="4" s="1"/>
  <c r="AI80" i="6" s="1"/>
  <c r="AE79" i="4"/>
  <c r="AE83" i="4" s="1"/>
  <c r="AG80" i="6" s="1"/>
  <c r="AO79" i="4"/>
  <c r="AO83" i="4" s="1"/>
  <c r="AQ80" i="6" s="1"/>
  <c r="AH79" i="4"/>
  <c r="AH83" i="4" s="1"/>
  <c r="AJ80" i="6" s="1"/>
  <c r="W79" i="4"/>
  <c r="W83" i="4" s="1"/>
  <c r="Y80" i="6" s="1"/>
  <c r="T79" i="4"/>
  <c r="AF79" i="4"/>
  <c r="AF83" i="4" s="1"/>
  <c r="AH80" i="6" s="1"/>
  <c r="AK79" i="4"/>
  <c r="AK83" i="4" s="1"/>
  <c r="AM80" i="6" s="1"/>
  <c r="AD79" i="4"/>
  <c r="AD83" i="4" s="1"/>
  <c r="AF80" i="6" s="1"/>
  <c r="AI79" i="4"/>
  <c r="AI83" i="4" s="1"/>
  <c r="AK80" i="6" s="1"/>
  <c r="AQ79" i="4"/>
  <c r="AQ83" i="4" s="1"/>
  <c r="AS80" i="6" s="1"/>
  <c r="AV79" i="4"/>
  <c r="AV83" i="4" s="1"/>
  <c r="AX80" i="6" s="1"/>
  <c r="E3" i="6"/>
  <c r="F3" i="6" s="1"/>
  <c r="G3" i="6" s="1"/>
  <c r="H3" i="6" s="1"/>
  <c r="I3" i="6" s="1"/>
  <c r="J3" i="6" s="1"/>
  <c r="K3" i="6" s="1"/>
  <c r="L3" i="6" l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C75" i="4" l="1"/>
  <c r="D75" i="4" s="1"/>
  <c r="E75" i="4" s="1"/>
  <c r="F75" i="4" s="1"/>
  <c r="G75" i="4" s="1"/>
  <c r="H75" i="4" s="1"/>
  <c r="I75" i="4" s="1"/>
  <c r="J75" i="4" s="1"/>
  <c r="K75" i="4" s="1"/>
  <c r="L75" i="4" s="1"/>
  <c r="M75" i="4" s="1"/>
  <c r="N75" i="4" s="1"/>
  <c r="O75" i="4" s="1"/>
  <c r="P75" i="4" s="1"/>
  <c r="Q75" i="4" s="1"/>
  <c r="R75" i="4" s="1"/>
  <c r="S75" i="4" s="1"/>
  <c r="T75" i="4" s="1"/>
  <c r="U75" i="4" s="1"/>
  <c r="V75" i="4" s="1"/>
  <c r="W75" i="4" s="1"/>
  <c r="X75" i="4" s="1"/>
  <c r="Y75" i="4" s="1"/>
  <c r="Z75" i="4" s="1"/>
  <c r="AA75" i="4" s="1"/>
  <c r="AB75" i="4" s="1"/>
  <c r="AC75" i="4" s="1"/>
  <c r="AD75" i="4" s="1"/>
  <c r="AE75" i="4" s="1"/>
  <c r="AF75" i="4" s="1"/>
  <c r="AG75" i="4" s="1"/>
  <c r="AH75" i="4" s="1"/>
  <c r="AI75" i="4" s="1"/>
  <c r="AJ75" i="4" s="1"/>
  <c r="AK75" i="4" s="1"/>
  <c r="AL75" i="4" s="1"/>
  <c r="AM75" i="4" s="1"/>
  <c r="AN75" i="4" s="1"/>
  <c r="AO75" i="4" s="1"/>
  <c r="AP75" i="4" s="1"/>
  <c r="AQ75" i="4" s="1"/>
  <c r="AR75" i="4" s="1"/>
  <c r="AS75" i="4" s="1"/>
  <c r="AT75" i="4" s="1"/>
  <c r="AU75" i="4" s="1"/>
  <c r="AV75" i="4" s="1"/>
  <c r="AW75" i="4" s="1"/>
  <c r="E77" i="6" l="1"/>
  <c r="E76" i="6"/>
  <c r="F76" i="6" l="1"/>
  <c r="F77" i="6"/>
  <c r="B84" i="4"/>
  <c r="C84" i="4" l="1"/>
  <c r="G77" i="6"/>
  <c r="G76" i="6"/>
  <c r="H76" i="6" l="1"/>
  <c r="I76" i="6" s="1"/>
  <c r="D84" i="4"/>
  <c r="H77" i="6"/>
  <c r="E84" i="4" l="1"/>
  <c r="I77" i="6"/>
  <c r="J76" i="6" l="1"/>
  <c r="F84" i="4"/>
  <c r="J77" i="6"/>
  <c r="G84" i="4" l="1"/>
  <c r="H84" i="4" l="1"/>
  <c r="J83" i="4" l="1"/>
  <c r="K77" i="6"/>
  <c r="K76" i="6"/>
  <c r="E83" i="4"/>
  <c r="D83" i="4"/>
  <c r="M83" i="4" l="1"/>
  <c r="I83" i="4"/>
  <c r="K83" i="4"/>
  <c r="U83" i="4"/>
  <c r="G83" i="4"/>
  <c r="N83" i="4"/>
  <c r="S83" i="4"/>
  <c r="R83" i="4"/>
  <c r="P83" i="4"/>
  <c r="L83" i="4"/>
  <c r="C83" i="4"/>
  <c r="C85" i="4" s="1"/>
  <c r="C87" i="4" s="1"/>
  <c r="Q83" i="4"/>
  <c r="T83" i="4"/>
  <c r="V83" i="4"/>
  <c r="F83" i="4"/>
  <c r="F85" i="4" s="1"/>
  <c r="F87" i="4" s="1"/>
  <c r="O83" i="4"/>
  <c r="B83" i="4"/>
  <c r="H83" i="4"/>
  <c r="L76" i="6"/>
  <c r="D85" i="4"/>
  <c r="D87" i="4" s="1"/>
  <c r="E85" i="4"/>
  <c r="E87" i="4" s="1"/>
  <c r="L77" i="6"/>
  <c r="G85" i="4" l="1"/>
  <c r="G87" i="4" s="1"/>
  <c r="B85" i="4"/>
  <c r="B87" i="4" s="1"/>
  <c r="H85" i="4"/>
  <c r="H87" i="4" s="1"/>
  <c r="I84" i="4"/>
  <c r="I85" i="4" s="1"/>
  <c r="I87" i="4" s="1"/>
  <c r="M76" i="6"/>
  <c r="M77" i="6"/>
  <c r="B88" i="4" l="1"/>
  <c r="C88" i="4" s="1"/>
  <c r="D88" i="4" s="1"/>
  <c r="E88" i="4" s="1"/>
  <c r="F88" i="4" s="1"/>
  <c r="G88" i="4" s="1"/>
  <c r="H88" i="4" s="1"/>
  <c r="I88" i="4" s="1"/>
  <c r="J84" i="4"/>
  <c r="J85" i="4" s="1"/>
  <c r="J87" i="4" s="1"/>
  <c r="N77" i="6"/>
  <c r="N76" i="6"/>
  <c r="J88" i="4" l="1"/>
  <c r="K84" i="4"/>
  <c r="K85" i="4" s="1"/>
  <c r="K87" i="4" s="1"/>
  <c r="O76" i="6"/>
  <c r="O77" i="6"/>
  <c r="K88" i="4" l="1"/>
  <c r="P77" i="6"/>
  <c r="L84" i="4"/>
  <c r="L85" i="4" s="1"/>
  <c r="L87" i="4" s="1"/>
  <c r="P76" i="6"/>
  <c r="L88" i="4" l="1"/>
  <c r="Q77" i="6"/>
  <c r="Q76" i="6"/>
  <c r="M84" i="4"/>
  <c r="M85" i="4" s="1"/>
  <c r="M87" i="4" s="1"/>
  <c r="M88" i="4" l="1"/>
  <c r="R77" i="6"/>
  <c r="R76" i="6"/>
  <c r="N84" i="4"/>
  <c r="N85" i="4" s="1"/>
  <c r="N87" i="4" s="1"/>
  <c r="N88" i="4" l="1"/>
  <c r="O84" i="4"/>
  <c r="O85" i="4" s="1"/>
  <c r="O87" i="4" s="1"/>
  <c r="S76" i="6"/>
  <c r="S77" i="6"/>
  <c r="O88" i="4" l="1"/>
  <c r="T77" i="6"/>
  <c r="T76" i="6"/>
  <c r="P84" i="4"/>
  <c r="P85" i="4" s="1"/>
  <c r="P87" i="4" s="1"/>
  <c r="P88" i="4" l="1"/>
  <c r="Q84" i="4"/>
  <c r="Q85" i="4" s="1"/>
  <c r="Q87" i="4" s="1"/>
  <c r="U76" i="6"/>
  <c r="U77" i="6"/>
  <c r="Q88" i="4" l="1"/>
  <c r="R84" i="4"/>
  <c r="R85" i="4" s="1"/>
  <c r="R87" i="4" s="1"/>
  <c r="V76" i="6"/>
  <c r="V77" i="6"/>
  <c r="R88" i="4" l="1"/>
  <c r="W77" i="6"/>
  <c r="S84" i="4"/>
  <c r="S85" i="4" s="1"/>
  <c r="S87" i="4" s="1"/>
  <c r="S88" i="4" s="1"/>
  <c r="W76" i="6"/>
  <c r="X76" i="6" l="1"/>
  <c r="Y76" i="6" s="1"/>
  <c r="T84" i="4"/>
  <c r="T85" i="4" s="1"/>
  <c r="T87" i="4" s="1"/>
  <c r="T88" i="4" s="1"/>
  <c r="X77" i="6"/>
  <c r="Y77" i="6" s="1"/>
  <c r="Y79" i="6" s="1"/>
  <c r="Y84" i="6" s="1"/>
  <c r="Y81" i="6" l="1"/>
  <c r="U84" i="4"/>
  <c r="U85" i="4" s="1"/>
  <c r="U87" i="4" s="1"/>
  <c r="U88" i="4" s="1"/>
  <c r="V84" i="4" l="1"/>
  <c r="V85" i="4" s="1"/>
  <c r="V87" i="4" s="1"/>
  <c r="V88" i="4" s="1"/>
  <c r="Z76" i="6"/>
  <c r="Z77" i="6"/>
  <c r="AA77" i="6" l="1"/>
  <c r="Z79" i="6"/>
  <c r="Z84" i="6" s="1"/>
  <c r="W84" i="4"/>
  <c r="W85" i="4" s="1"/>
  <c r="W87" i="4" s="1"/>
  <c r="W88" i="4" s="1"/>
  <c r="Y82" i="6"/>
  <c r="Y83" i="6" s="1"/>
  <c r="AA76" i="6"/>
  <c r="AB76" i="6" l="1"/>
  <c r="AA79" i="6"/>
  <c r="AA84" i="6" s="1"/>
  <c r="AB77" i="6"/>
  <c r="X84" i="4"/>
  <c r="X85" i="4" s="1"/>
  <c r="X87" i="4" s="1"/>
  <c r="X88" i="4" s="1"/>
  <c r="Z81" i="6"/>
  <c r="Z82" i="6" s="1"/>
  <c r="AB79" i="6" l="1"/>
  <c r="AB84" i="6" s="1"/>
  <c r="AC77" i="6"/>
  <c r="AC76" i="6"/>
  <c r="AA81" i="6"/>
  <c r="AA82" i="6" s="1"/>
  <c r="Y84" i="4"/>
  <c r="Y85" i="4" s="1"/>
  <c r="Y87" i="4" s="1"/>
  <c r="Y88" i="4" s="1"/>
  <c r="AB81" i="6" l="1"/>
  <c r="AB82" i="6" s="1"/>
  <c r="Z84" i="4"/>
  <c r="Z85" i="4" s="1"/>
  <c r="Z87" i="4" s="1"/>
  <c r="Z88" i="4" s="1"/>
  <c r="AD76" i="6"/>
  <c r="AC79" i="6"/>
  <c r="AC84" i="6" s="1"/>
  <c r="AD77" i="6"/>
  <c r="AC81" i="6" l="1"/>
  <c r="AC82" i="6" s="1"/>
  <c r="AA84" i="4"/>
  <c r="AA85" i="4" s="1"/>
  <c r="AA87" i="4" s="1"/>
  <c r="AA88" i="4" s="1"/>
  <c r="AD79" i="6"/>
  <c r="AD84" i="6" s="1"/>
  <c r="AE77" i="6"/>
  <c r="AE76" i="6"/>
  <c r="AD81" i="6" l="1"/>
  <c r="AD82" i="6" s="1"/>
  <c r="AB84" i="4"/>
  <c r="AB85" i="4" s="1"/>
  <c r="AB87" i="4" s="1"/>
  <c r="AB88" i="4" s="1"/>
  <c r="AF76" i="6"/>
  <c r="AE79" i="6"/>
  <c r="AE84" i="6" s="1"/>
  <c r="AF77" i="6"/>
  <c r="AE81" i="6" l="1"/>
  <c r="AE82" i="6" s="1"/>
  <c r="AC84" i="4"/>
  <c r="AC85" i="4" s="1"/>
  <c r="AC87" i="4" s="1"/>
  <c r="AC88" i="4" s="1"/>
  <c r="AG76" i="6"/>
  <c r="AF79" i="6"/>
  <c r="AF84" i="6" s="1"/>
  <c r="AG77" i="6"/>
  <c r="AF81" i="6" l="1"/>
  <c r="AF82" i="6" s="1"/>
  <c r="AD84" i="4"/>
  <c r="AD85" i="4" s="1"/>
  <c r="AD87" i="4" s="1"/>
  <c r="AD88" i="4" s="1"/>
  <c r="AH77" i="6"/>
  <c r="AG79" i="6"/>
  <c r="AG84" i="6" s="1"/>
  <c r="Z83" i="6"/>
  <c r="AH76" i="6"/>
  <c r="AG81" i="6" l="1"/>
  <c r="AG82" i="6" s="1"/>
  <c r="AE84" i="4"/>
  <c r="AE85" i="4" s="1"/>
  <c r="AE87" i="4" s="1"/>
  <c r="AE88" i="4" s="1"/>
  <c r="AI76" i="6"/>
  <c r="AA83" i="6"/>
  <c r="AI77" i="6"/>
  <c r="AH79" i="6"/>
  <c r="AH84" i="6" s="1"/>
  <c r="D7" i="7" l="1"/>
  <c r="D9" i="7" s="1"/>
  <c r="AH81" i="6"/>
  <c r="AH82" i="6" s="1"/>
  <c r="AF84" i="4"/>
  <c r="AF85" i="4" s="1"/>
  <c r="AF87" i="4" s="1"/>
  <c r="AF88" i="4" s="1"/>
  <c r="AJ77" i="6"/>
  <c r="AI79" i="6"/>
  <c r="AB83" i="6"/>
  <c r="AJ76" i="6"/>
  <c r="D15" i="7" l="1"/>
  <c r="AI84" i="6"/>
  <c r="AI81" i="6"/>
  <c r="AI82" i="6" s="1"/>
  <c r="AG84" i="4"/>
  <c r="AG85" i="4" s="1"/>
  <c r="AG87" i="4" s="1"/>
  <c r="AG88" i="4" s="1"/>
  <c r="AK77" i="6"/>
  <c r="AJ79" i="6"/>
  <c r="AK76" i="6"/>
  <c r="AC83" i="6"/>
  <c r="AJ84" i="6" l="1"/>
  <c r="Z87" i="6"/>
  <c r="Z88" i="6" s="1"/>
  <c r="AJ81" i="6"/>
  <c r="AJ82" i="6" s="1"/>
  <c r="AH84" i="4"/>
  <c r="AH85" i="4" s="1"/>
  <c r="AH87" i="4" s="1"/>
  <c r="AH88" i="4" s="1"/>
  <c r="AL76" i="6"/>
  <c r="AA87" i="6" s="1"/>
  <c r="AA88" i="6" s="1"/>
  <c r="AD83" i="6"/>
  <c r="AL77" i="6"/>
  <c r="AK79" i="6"/>
  <c r="AK84" i="6" l="1"/>
  <c r="AK81" i="6"/>
  <c r="AK82" i="6" s="1"/>
  <c r="AI84" i="4"/>
  <c r="AI85" i="4" s="1"/>
  <c r="AI87" i="4" s="1"/>
  <c r="AI88" i="4" s="1"/>
  <c r="AM77" i="6"/>
  <c r="AL79" i="6"/>
  <c r="AE83" i="6"/>
  <c r="AM76" i="6"/>
  <c r="AL84" i="6" l="1"/>
  <c r="AN76" i="6"/>
  <c r="AB87" i="6"/>
  <c r="AB88" i="6" s="1"/>
  <c r="AM79" i="6"/>
  <c r="AM81" i="6" s="1"/>
  <c r="AM82" i="6" s="1"/>
  <c r="AN77" i="6"/>
  <c r="Z86" i="6"/>
  <c r="AL81" i="6"/>
  <c r="AL82" i="6" s="1"/>
  <c r="AJ84" i="4"/>
  <c r="AJ85" i="4" s="1"/>
  <c r="AJ87" i="4" s="1"/>
  <c r="AJ88" i="4" s="1"/>
  <c r="AF83" i="6"/>
  <c r="AM84" i="6" l="1"/>
  <c r="AK84" i="4"/>
  <c r="AK85" i="4" s="1"/>
  <c r="AK87" i="4" s="1"/>
  <c r="AK88" i="4" s="1"/>
  <c r="AO76" i="6"/>
  <c r="AC87" i="6"/>
  <c r="AC88" i="6" s="1"/>
  <c r="AB86" i="6"/>
  <c r="AO77" i="6"/>
  <c r="AN79" i="6"/>
  <c r="AA86" i="6"/>
  <c r="AG83" i="6"/>
  <c r="AN84" i="6" l="1"/>
  <c r="AC86" i="6" s="1"/>
  <c r="AP76" i="6"/>
  <c r="AD87" i="6"/>
  <c r="AD88" i="6" s="1"/>
  <c r="AL84" i="4"/>
  <c r="AL85" i="4" s="1"/>
  <c r="AL87" i="4" s="1"/>
  <c r="AL88" i="4" s="1"/>
  <c r="AN81" i="6"/>
  <c r="AN82" i="6" s="1"/>
  <c r="AO79" i="6"/>
  <c r="AP77" i="6"/>
  <c r="AH83" i="6"/>
  <c r="AI83" i="6" s="1"/>
  <c r="AO84" i="6" l="1"/>
  <c r="AQ76" i="6"/>
  <c r="AE87" i="6"/>
  <c r="AE88" i="6" s="1"/>
  <c r="AQ77" i="6"/>
  <c r="AP79" i="6"/>
  <c r="AO81" i="6"/>
  <c r="AO82" i="6" s="1"/>
  <c r="AM84" i="4"/>
  <c r="AM85" i="4" s="1"/>
  <c r="AM87" i="4" s="1"/>
  <c r="AM88" i="4" s="1"/>
  <c r="AP84" i="6" l="1"/>
  <c r="AD86" i="6"/>
  <c r="AE86" i="6"/>
  <c r="AR76" i="6"/>
  <c r="AF87" i="6"/>
  <c r="AF88" i="6" s="1"/>
  <c r="AP81" i="6"/>
  <c r="AP82" i="6" s="1"/>
  <c r="AN84" i="4"/>
  <c r="AN85" i="4" s="1"/>
  <c r="AN87" i="4" s="1"/>
  <c r="AN88" i="4" s="1"/>
  <c r="AQ79" i="6"/>
  <c r="AR77" i="6"/>
  <c r="AJ83" i="6"/>
  <c r="AQ84" i="6" l="1"/>
  <c r="AS76" i="6"/>
  <c r="AG87" i="6"/>
  <c r="AG88" i="6" s="1"/>
  <c r="AR79" i="6"/>
  <c r="AS77" i="6"/>
  <c r="AS79" i="6" s="1"/>
  <c r="AQ81" i="6"/>
  <c r="AQ82" i="6" s="1"/>
  <c r="AO84" i="4"/>
  <c r="AO85" i="4" s="1"/>
  <c r="AO87" i="4" s="1"/>
  <c r="AO88" i="4" s="1"/>
  <c r="AK83" i="6"/>
  <c r="AR84" i="6" l="1"/>
  <c r="AS84" i="6" s="1"/>
  <c r="AT76" i="6"/>
  <c r="AH87" i="6"/>
  <c r="AH88" i="6" s="1"/>
  <c r="AF86" i="6"/>
  <c r="Z85" i="6"/>
  <c r="AP84" i="4"/>
  <c r="AP85" i="4" s="1"/>
  <c r="AP87" i="4" s="1"/>
  <c r="AP88" i="4" s="1"/>
  <c r="AR81" i="6"/>
  <c r="AR82" i="6" s="1"/>
  <c r="AT77" i="6"/>
  <c r="AL83" i="6"/>
  <c r="AG86" i="6" l="1"/>
  <c r="AU76" i="6"/>
  <c r="AI87" i="6"/>
  <c r="AI88" i="6" s="1"/>
  <c r="AA85" i="6"/>
  <c r="AT79" i="6"/>
  <c r="AT84" i="6" s="1"/>
  <c r="AU77" i="6"/>
  <c r="AQ84" i="4"/>
  <c r="AQ85" i="4" s="1"/>
  <c r="AQ87" i="4" s="1"/>
  <c r="AQ88" i="4" s="1"/>
  <c r="AS81" i="6"/>
  <c r="AS82" i="6" s="1"/>
  <c r="AM83" i="6"/>
  <c r="AV76" i="6" l="1"/>
  <c r="AJ87" i="6"/>
  <c r="AJ88" i="6" s="1"/>
  <c r="AH86" i="6"/>
  <c r="AN83" i="6"/>
  <c r="AB85" i="6"/>
  <c r="AR84" i="4"/>
  <c r="AR85" i="4" s="1"/>
  <c r="AR87" i="4" s="1"/>
  <c r="AR88" i="4" s="1"/>
  <c r="AT81" i="6"/>
  <c r="AT82" i="6" s="1"/>
  <c r="AV77" i="6"/>
  <c r="AU79" i="6"/>
  <c r="AU84" i="6" s="1"/>
  <c r="AW76" i="6" l="1"/>
  <c r="AX76" i="6" s="1"/>
  <c r="AY76" i="6" s="1"/>
  <c r="AK87" i="6"/>
  <c r="AK88" i="6" s="1"/>
  <c r="AI86" i="6"/>
  <c r="AO83" i="6"/>
  <c r="AC85" i="6"/>
  <c r="AU81" i="6"/>
  <c r="AU82" i="6" s="1"/>
  <c r="AS84" i="4"/>
  <c r="AS85" i="4" s="1"/>
  <c r="AS87" i="4" s="1"/>
  <c r="AS88" i="4" s="1"/>
  <c r="AJ86" i="6"/>
  <c r="AV79" i="6"/>
  <c r="AV84" i="6" s="1"/>
  <c r="AW77" i="6"/>
  <c r="AP83" i="6" l="1"/>
  <c r="AD85" i="6"/>
  <c r="AX77" i="6"/>
  <c r="AW79" i="6"/>
  <c r="AW84" i="6" s="1"/>
  <c r="AT84" i="4"/>
  <c r="AT85" i="4" s="1"/>
  <c r="AT87" i="4" s="1"/>
  <c r="AT88" i="4" s="1"/>
  <c r="AV81" i="6"/>
  <c r="AV82" i="6" s="1"/>
  <c r="AK86" i="6" l="1"/>
  <c r="D10" i="7" s="1"/>
  <c r="AQ83" i="6"/>
  <c r="AF85" i="6" s="1"/>
  <c r="AE85" i="6"/>
  <c r="AU84" i="4"/>
  <c r="AU85" i="4" s="1"/>
  <c r="AU87" i="4" s="1"/>
  <c r="AU88" i="4" s="1"/>
  <c r="AW81" i="6"/>
  <c r="AW82" i="6" s="1"/>
  <c r="AY77" i="6"/>
  <c r="AY79" i="6" s="1"/>
  <c r="AX79" i="6"/>
  <c r="AX84" i="6" s="1"/>
  <c r="AY84" i="6" l="1"/>
  <c r="AR83" i="6"/>
  <c r="AG85" i="6" s="1"/>
  <c r="AW84" i="4"/>
  <c r="AW85" i="4" s="1"/>
  <c r="AW87" i="4" s="1"/>
  <c r="AY81" i="6"/>
  <c r="AY82" i="6" s="1"/>
  <c r="AX81" i="6"/>
  <c r="AX82" i="6" s="1"/>
  <c r="AV84" i="4"/>
  <c r="AV85" i="4" s="1"/>
  <c r="AV87" i="4" s="1"/>
  <c r="AV88" i="4" s="1"/>
  <c r="AS83" i="6" l="1"/>
  <c r="AH85" i="6" s="1"/>
  <c r="AW88" i="4"/>
  <c r="AT83" i="6" l="1"/>
  <c r="AI85" i="6" s="1"/>
  <c r="AU83" i="6" l="1"/>
  <c r="AV83" i="6" s="1"/>
  <c r="AW83" i="6" l="1"/>
  <c r="AX83" i="6" s="1"/>
  <c r="AY83" i="6" s="1"/>
  <c r="AK85" i="6"/>
  <c r="D11" i="7" s="1"/>
  <c r="D12" i="7" s="1"/>
  <c r="D14" i="7" s="1"/>
  <c r="AJ85" i="6"/>
  <c r="A76" i="6" l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D16" i="7"/>
  <c r="D17" i="7" s="1"/>
  <c r="D21" i="7" l="1"/>
  <c r="D23" i="7" s="1"/>
  <c r="K17" i="8" l="1"/>
  <c r="K14" i="8" l="1"/>
  <c r="K67" i="11" s="1"/>
  <c r="K12" i="8"/>
  <c r="K39" i="11" s="1"/>
  <c r="L39" i="11" s="1"/>
  <c r="K13" i="8"/>
  <c r="K61" i="11" s="1"/>
  <c r="L61" i="11" s="1"/>
  <c r="K11" i="8"/>
  <c r="K17" i="11" s="1"/>
  <c r="L17" i="11" s="1"/>
  <c r="M17" i="11" s="1"/>
  <c r="O17" i="11" s="1"/>
  <c r="K15" i="8"/>
  <c r="K50" i="11" s="1"/>
  <c r="L50" i="11" s="1"/>
  <c r="K9" i="8"/>
  <c r="K12" i="11" s="1"/>
  <c r="L12" i="11" s="1"/>
  <c r="K10" i="8"/>
  <c r="K30" i="11" s="1"/>
  <c r="L30" i="11" s="1"/>
  <c r="X17" i="11" l="1"/>
  <c r="T17" i="11"/>
  <c r="L37" i="11"/>
  <c r="M37" i="11" s="1"/>
  <c r="L38" i="11"/>
  <c r="M38" i="11" s="1"/>
  <c r="L36" i="11"/>
  <c r="M36" i="11" s="1"/>
  <c r="L11" i="11"/>
  <c r="M11" i="11" s="1"/>
  <c r="L8" i="11"/>
  <c r="M8" i="11" s="1"/>
  <c r="L7" i="11"/>
  <c r="M7" i="11" s="1"/>
  <c r="L10" i="11"/>
  <c r="M10" i="11" s="1"/>
  <c r="L23" i="11"/>
  <c r="M23" i="11" s="1"/>
  <c r="L29" i="11"/>
  <c r="M29" i="11" s="1"/>
  <c r="L25" i="11"/>
  <c r="M25" i="11" s="1"/>
  <c r="L28" i="11"/>
  <c r="M28" i="11" s="1"/>
  <c r="L27" i="11"/>
  <c r="M27" i="11" s="1"/>
  <c r="L24" i="11"/>
  <c r="M24" i="11" s="1"/>
  <c r="L46" i="11"/>
  <c r="M46" i="11" s="1"/>
  <c r="L48" i="11"/>
  <c r="M48" i="11" s="1"/>
  <c r="L49" i="11"/>
  <c r="L47" i="11"/>
  <c r="M47" i="11" s="1"/>
  <c r="L45" i="11"/>
  <c r="M45" i="11" s="1"/>
  <c r="L59" i="11"/>
  <c r="M59" i="11" s="1"/>
  <c r="L57" i="11"/>
  <c r="M57" i="11" s="1"/>
  <c r="L58" i="11"/>
  <c r="M58" i="11" s="1"/>
  <c r="L56" i="11"/>
  <c r="M56" i="11" s="1"/>
  <c r="L60" i="11"/>
  <c r="M60" i="11" s="1"/>
  <c r="K70" i="11"/>
  <c r="L67" i="11"/>
  <c r="M67" i="11" s="1"/>
  <c r="O67" i="11" s="1"/>
  <c r="M49" i="11" l="1"/>
  <c r="O56" i="11"/>
  <c r="T56" i="11" s="1"/>
  <c r="K56" i="11"/>
  <c r="O57" i="11"/>
  <c r="T57" i="11" s="1"/>
  <c r="K57" i="11"/>
  <c r="K45" i="11"/>
  <c r="O45" i="11"/>
  <c r="T45" i="11" s="1"/>
  <c r="K49" i="11"/>
  <c r="O49" i="11"/>
  <c r="T49" i="11" s="1"/>
  <c r="T50" i="11" s="1"/>
  <c r="K46" i="11"/>
  <c r="O46" i="11"/>
  <c r="T46" i="11" s="1"/>
  <c r="O27" i="11"/>
  <c r="K27" i="11"/>
  <c r="K25" i="11"/>
  <c r="O25" i="11"/>
  <c r="K23" i="11"/>
  <c r="O23" i="11"/>
  <c r="K7" i="11"/>
  <c r="O7" i="11"/>
  <c r="O11" i="11"/>
  <c r="K11" i="11"/>
  <c r="O38" i="11"/>
  <c r="K38" i="11"/>
  <c r="X67" i="11"/>
  <c r="T67" i="11"/>
  <c r="K60" i="11"/>
  <c r="O60" i="11"/>
  <c r="T60" i="11" s="1"/>
  <c r="T61" i="11" s="1"/>
  <c r="K58" i="11"/>
  <c r="O58" i="11"/>
  <c r="T58" i="11" s="1"/>
  <c r="O59" i="11"/>
  <c r="T59" i="11" s="1"/>
  <c r="K59" i="11"/>
  <c r="K47" i="11"/>
  <c r="O47" i="11"/>
  <c r="T47" i="11" s="1"/>
  <c r="K48" i="11"/>
  <c r="O48" i="11"/>
  <c r="T48" i="11" s="1"/>
  <c r="O24" i="11"/>
  <c r="K24" i="11"/>
  <c r="O28" i="11"/>
  <c r="K28" i="11"/>
  <c r="O29" i="11"/>
  <c r="K29" i="11"/>
  <c r="K10" i="11"/>
  <c r="O10" i="11"/>
  <c r="O8" i="11"/>
  <c r="K8" i="11"/>
  <c r="O36" i="11"/>
  <c r="K36" i="11"/>
  <c r="O37" i="11"/>
  <c r="K37" i="11"/>
  <c r="T8" i="11" l="1"/>
  <c r="X8" i="11"/>
  <c r="X38" i="11"/>
  <c r="T38" i="11"/>
  <c r="T11" i="11"/>
  <c r="X11" i="11"/>
  <c r="X27" i="11"/>
  <c r="T27" i="11"/>
  <c r="T37" i="11"/>
  <c r="X37" i="11"/>
  <c r="X36" i="11"/>
  <c r="T36" i="11"/>
  <c r="X29" i="11"/>
  <c r="T29" i="11"/>
  <c r="T28" i="11"/>
  <c r="X28" i="11"/>
  <c r="X24" i="11"/>
  <c r="T24" i="11"/>
  <c r="T10" i="11"/>
  <c r="X10" i="11"/>
  <c r="C36" i="10" s="1"/>
  <c r="X7" i="11"/>
  <c r="D36" i="10" s="1"/>
  <c r="T7" i="11"/>
  <c r="T23" i="11"/>
  <c r="X23" i="11"/>
  <c r="T25" i="11"/>
  <c r="X25" i="11"/>
  <c r="G14" i="10" l="1"/>
  <c r="I14" i="10" s="1"/>
  <c r="G15" i="10"/>
  <c r="I15" i="10" s="1"/>
  <c r="G18" i="10"/>
  <c r="I18" i="10" s="1"/>
  <c r="G19" i="10"/>
  <c r="I19" i="10" s="1"/>
  <c r="G16" i="10"/>
  <c r="I16" i="10" s="1"/>
  <c r="G17" i="10"/>
  <c r="I17" i="10" s="1"/>
  <c r="G13" i="10"/>
  <c r="I13" i="10" s="1"/>
  <c r="G11" i="10"/>
  <c r="I11" i="10" s="1"/>
  <c r="G10" i="10"/>
  <c r="G20" i="10"/>
  <c r="I20" i="10" s="1"/>
  <c r="G12" i="10"/>
  <c r="I12" i="10" s="1"/>
  <c r="G21" i="10"/>
  <c r="I21" i="10" s="1"/>
  <c r="G24" i="10" l="1"/>
  <c r="I10" i="10"/>
  <c r="I24" i="10" s="1"/>
  <c r="I26" i="10" s="1"/>
  <c r="A21" i="7"/>
  <c r="A22" i="7"/>
  <c r="A23" i="7"/>
</calcChain>
</file>

<file path=xl/comments1.xml><?xml version="1.0" encoding="utf-8"?>
<comments xmlns="http://schemas.openxmlformats.org/spreadsheetml/2006/main">
  <authors>
    <author>Jordan Stephenson</author>
  </authors>
  <commentList>
    <comment ref="W79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2013 investment not tracked as it has not exceeded $84M threshold.
2014 investment exceeding the $84M  threshold begins in October 2014. </t>
        </r>
        <r>
          <rPr>
            <b/>
            <sz val="9"/>
            <color indexed="81"/>
            <rFont val="Tahoma"/>
            <family val="2"/>
          </rPr>
          <t xml:space="preserve">
There is no bonus depreciation in 2014.</t>
        </r>
      </text>
    </comment>
    <comment ref="W82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Per tax dept. removal costs should be included as expense for tax  calculation used to determine temporary difference.</t>
        </r>
      </text>
    </comment>
  </commentList>
</comments>
</file>

<file path=xl/sharedStrings.xml><?xml version="1.0" encoding="utf-8"?>
<sst xmlns="http://schemas.openxmlformats.org/spreadsheetml/2006/main" count="898" uniqueCount="458">
  <si>
    <t>Project</t>
  </si>
  <si>
    <t>01007067</t>
  </si>
  <si>
    <t>01008213</t>
  </si>
  <si>
    <t>01009359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</si>
  <si>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</si>
  <si>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</si>
  <si>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</si>
  <si>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</si>
  <si>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</si>
  <si>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</si>
  <si>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</si>
  <si>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</si>
  <si>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</si>
  <si>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</si>
  <si>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</si>
  <si>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</si>
  <si>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</si>
  <si>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</si>
  <si>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</si>
  <si>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</si>
  <si>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</si>
  <si>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</si>
  <si>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</si>
  <si>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</si>
  <si>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</si>
  <si>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</si>
  <si>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</si>
  <si>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</si>
  <si>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</si>
  <si>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</si>
  <si>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</si>
  <si>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</si>
  <si>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</si>
  <si>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</si>
  <si>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</si>
  <si>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</si>
  <si>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</si>
  <si>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</si>
  <si>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</si>
  <si>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</si>
  <si>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Questar 13 Month Avg (Accum Depr)</t>
  </si>
  <si>
    <t>Questar 13 Month Avg (Plant Additions)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</si>
  <si>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</si>
  <si>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</si>
  <si>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</si>
  <si>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</si>
  <si>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</si>
  <si>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</si>
  <si>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</si>
  <si>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</si>
  <si>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</si>
  <si>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</si>
  <si>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</si>
  <si>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>3/</t>
  </si>
  <si>
    <t xml:space="preserve">                        Accumulated Deferred Income Tax</t>
  </si>
  <si>
    <t>4/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</si>
  <si>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</si>
  <si>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</si>
  <si>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</si>
  <si>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</si>
  <si>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</si>
  <si>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</si>
  <si>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</si>
  <si>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</si>
  <si>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</si>
  <si>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</si>
  <si>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</si>
  <si>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</si>
  <si>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</si>
  <si>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</si>
  <si>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</si>
  <si>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</si>
  <si>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</si>
  <si>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TS</t>
  </si>
  <si>
    <t>MT</t>
  </si>
  <si>
    <t>FT-1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</si>
  <si>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</si>
  <si>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</si>
  <si>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</si>
  <si>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</si>
  <si>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</si>
  <si>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</si>
  <si>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</si>
  <si>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</si>
  <si>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</si>
  <si>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</si>
  <si>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</si>
  <si>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</si>
  <si>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</si>
  <si>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</si>
  <si>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</si>
  <si>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</si>
  <si>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</si>
  <si>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</si>
  <si>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Curr. Rate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</si>
  <si>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</si>
  <si>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</si>
  <si>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</si>
  <si>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</si>
  <si>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</si>
  <si>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</si>
  <si>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</si>
  <si>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</si>
  <si>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</si>
  <si>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</si>
  <si>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</si>
  <si>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</si>
  <si>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</si>
  <si>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</si>
  <si>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</si>
  <si>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</si>
  <si>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</si>
  <si>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</si>
  <si>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</si>
  <si>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</si>
  <si>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</si>
  <si>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</si>
  <si>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</si>
  <si>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</si>
  <si>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</si>
  <si>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</si>
  <si>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</si>
  <si>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</si>
  <si>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</si>
  <si>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</si>
  <si>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</si>
  <si>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</si>
  <si>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</si>
  <si>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</si>
  <si>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</si>
  <si>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</si>
  <si>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</si>
  <si>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</si>
  <si>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</si>
  <si>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</si>
  <si>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</si>
  <si>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</si>
  <si>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</si>
  <si>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</si>
  <si>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</si>
  <si>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</si>
  <si>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</si>
  <si>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</si>
  <si>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</si>
  <si>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</si>
  <si>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</si>
  <si>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</si>
  <si>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</si>
  <si>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</si>
  <si>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</si>
  <si>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</si>
  <si>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</si>
  <si>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</si>
  <si>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</si>
  <si>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</si>
  <si>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</si>
  <si>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</si>
  <si>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</si>
  <si>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D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</si>
  <si>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</si>
  <si>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</si>
  <si>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</si>
  <si>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</si>
  <si>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</si>
  <si>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</si>
  <si>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</si>
  <si>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</si>
  <si>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</si>
  <si>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</si>
  <si>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</si>
  <si>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</si>
  <si>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</si>
  <si>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</si>
  <si>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</si>
  <si>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QGC Infrastructure Replacement Project Summary</t>
  </si>
  <si>
    <t>1/ ADIT is calculated using a 13 month average covering the test period.</t>
  </si>
  <si>
    <t>5/</t>
  </si>
  <si>
    <t>Temporary Difference</t>
  </si>
  <si>
    <t>Tax Rate</t>
  </si>
  <si>
    <t>Deferred taxes</t>
  </si>
  <si>
    <t>01009666</t>
  </si>
  <si>
    <t>Total Revenue Requirement</t>
  </si>
  <si>
    <t>FL25 Retirement</t>
  </si>
  <si>
    <t>01040064</t>
  </si>
  <si>
    <t>01040177</t>
  </si>
  <si>
    <t>01010132</t>
  </si>
  <si>
    <t>01041006</t>
  </si>
  <si>
    <t>01041007</t>
  </si>
  <si>
    <t>AA</t>
  </si>
  <si>
    <t>AB</t>
  </si>
  <si>
    <t>AC</t>
  </si>
  <si>
    <t>AD</t>
  </si>
  <si>
    <t>Questar 13 Month Avg (ADIT) 1/</t>
  </si>
  <si>
    <t>Plant Balance Date</t>
  </si>
  <si>
    <t>Test Period Beginning</t>
  </si>
  <si>
    <t>FL6 Retirement</t>
  </si>
  <si>
    <t>FL41 Retirement</t>
  </si>
  <si>
    <t>01040277</t>
  </si>
  <si>
    <t>01040493</t>
  </si>
  <si>
    <t>01010104</t>
  </si>
  <si>
    <t>FL35 Retirement</t>
  </si>
  <si>
    <t>FL14 Retirement</t>
  </si>
  <si>
    <t>Closed 50% pd, incurred any pd</t>
  </si>
  <si>
    <t>FL35- REPL FL 13400 S, SLCo</t>
  </si>
  <si>
    <t>6/</t>
  </si>
  <si>
    <t>2013</t>
  </si>
  <si>
    <t>2014</t>
  </si>
  <si>
    <t>Normal Deferred Tax Rate (20yr)</t>
  </si>
  <si>
    <t>01040420</t>
  </si>
  <si>
    <t>01040864</t>
  </si>
  <si>
    <t>01009663</t>
  </si>
  <si>
    <t>01040999</t>
  </si>
  <si>
    <t>01041081</t>
  </si>
  <si>
    <t>01040251</t>
  </si>
  <si>
    <t>01041294</t>
  </si>
  <si>
    <t>01040494</t>
  </si>
  <si>
    <t>Removal Cost</t>
  </si>
  <si>
    <t>01040158</t>
  </si>
  <si>
    <t>01010105</t>
  </si>
  <si>
    <t>FL50 Retirement</t>
  </si>
  <si>
    <t>Tariff Updater</t>
  </si>
  <si>
    <t>Current Total DNG</t>
  </si>
  <si>
    <t>New Total DNG</t>
  </si>
  <si>
    <t>Current TOTAL</t>
  </si>
  <si>
    <t>NEW TOTAL</t>
  </si>
  <si>
    <t>AE</t>
  </si>
  <si>
    <t>AF</t>
  </si>
  <si>
    <t>AG</t>
  </si>
  <si>
    <t>AH</t>
  </si>
  <si>
    <t>AI</t>
  </si>
  <si>
    <t>AJ</t>
  </si>
  <si>
    <t>01042249</t>
  </si>
  <si>
    <t>01041175</t>
  </si>
  <si>
    <t>01041176</t>
  </si>
  <si>
    <t>FL20-REPL FL, SOUTH WEBER</t>
  </si>
  <si>
    <t>FL24-INST 10' OF 10" FBE HP,HI</t>
  </si>
  <si>
    <t>FL8 Retirement</t>
  </si>
  <si>
    <t>FL20 Retirement</t>
  </si>
  <si>
    <t>Grand Total (Beg 2013)</t>
  </si>
  <si>
    <t>01040200</t>
  </si>
  <si>
    <t>01041173</t>
  </si>
  <si>
    <t>01041178</t>
  </si>
  <si>
    <t>01041281</t>
  </si>
  <si>
    <t>01041295</t>
  </si>
  <si>
    <t>01041753</t>
  </si>
  <si>
    <t>01041798</t>
  </si>
  <si>
    <t>01041905</t>
  </si>
  <si>
    <t>01041933</t>
  </si>
  <si>
    <t>01042134</t>
  </si>
  <si>
    <t>01042231</t>
  </si>
  <si>
    <t>01042308</t>
  </si>
  <si>
    <t>01042424</t>
  </si>
  <si>
    <t>01042813</t>
  </si>
  <si>
    <t>01042818</t>
  </si>
  <si>
    <t>01042820</t>
  </si>
  <si>
    <t>Cumulative Plant Balances (Less $84 Mil)</t>
  </si>
  <si>
    <t>1/ Per the Settlement Stipulation, paragraph 25 in Docket 13-057-05.</t>
  </si>
  <si>
    <t>Over</t>
  </si>
  <si>
    <t>01042033</t>
  </si>
  <si>
    <t>01041777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</si>
  <si>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</si>
  <si>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</si>
  <si>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</si>
  <si>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</si>
  <si>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</si>
  <si>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</si>
  <si>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</si>
  <si>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</si>
  <si>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</si>
  <si>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</si>
  <si>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</si>
  <si>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</si>
  <si>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</si>
  <si>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</si>
  <si>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</si>
  <si>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</si>
  <si>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</si>
  <si>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</si>
  <si>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</si>
  <si>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</si>
  <si>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</si>
  <si>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</si>
  <si>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</si>
  <si>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FL36-REPL FL, WEST JORDAN</t>
  </si>
  <si>
    <t>FL38-REPL 8" HP, ERDA</t>
  </si>
  <si>
    <t>FL36-REPL VLV &amp; PIPE, HERRIMAN</t>
  </si>
  <si>
    <t>FL48-REPL 10" HP, TOOELE</t>
  </si>
  <si>
    <t>FL18-REPL HP HILL FLD RD, LAYT</t>
  </si>
  <si>
    <t>SL IHP-Repl 3000' of 16"</t>
  </si>
  <si>
    <t>FL34-REPL BV &amp; HP PIPE, SLCO</t>
  </si>
  <si>
    <t>FL6-REPL HP, COTTONWOOD HGTS</t>
  </si>
  <si>
    <t>FL23-REPL w/12" ARO, LOGAN</t>
  </si>
  <si>
    <t>FL6-REPL 1500' 12" PIPE, SANDY</t>
  </si>
  <si>
    <t>FL34-INST DIRECTIONAL BORE, SJ</t>
  </si>
  <si>
    <t>SLIHP-REPL BL SL,3rd8th 1000 E</t>
  </si>
  <si>
    <t>SPRIHP-REPL BL PROVO 800W 400S</t>
  </si>
  <si>
    <t>SPRIHP-REPL BL 1100 N., NO SL</t>
  </si>
  <si>
    <t>SLIHP-REPL BL 100-300 SO, SLC</t>
  </si>
  <si>
    <t>FL18-REPL 3000' OF 8" ARO, LAY</t>
  </si>
  <si>
    <t>FL6-REPL FL 3300S/UTCo, SLCo</t>
  </si>
  <si>
    <t>TOTAL 2013</t>
  </si>
  <si>
    <t>LESS 84 Mill Already in Rates</t>
  </si>
  <si>
    <t>TOTAL 2014</t>
  </si>
  <si>
    <t>Removal Cost (Increases Tax DPR)</t>
  </si>
  <si>
    <t>7/</t>
  </si>
  <si>
    <t>Reduction for Over Collection in December and January 2015</t>
  </si>
  <si>
    <t>1/ Per Docket 13-057-19, Report and Order page  9, Table 1</t>
  </si>
  <si>
    <t>Revised Revenue</t>
  </si>
  <si>
    <t xml:space="preserve">Reduction for Interruptible Penalty </t>
  </si>
  <si>
    <t>Step 2</t>
  </si>
  <si>
    <t>Updated</t>
  </si>
  <si>
    <t>Tracker</t>
  </si>
  <si>
    <t>Base Rate Change</t>
  </si>
  <si>
    <t>Infrastructure Tracker Rate Calculation</t>
  </si>
  <si>
    <t>2015</t>
  </si>
  <si>
    <t>Total 2015</t>
  </si>
  <si>
    <t>Closed Normal pd, incurred any pd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</si>
  <si>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</si>
  <si>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</si>
  <si>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</si>
  <si>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</si>
  <si>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</si>
  <si>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</si>
  <si>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</si>
  <si>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</si>
  <si>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</si>
  <si>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</si>
  <si>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</si>
  <si>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</si>
  <si>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Previous Revenue Requirement</t>
  </si>
  <si>
    <t>Incremental Revenue Requirement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</si>
  <si>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</si>
  <si>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</si>
  <si>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</si>
  <si>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</si>
  <si>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</si>
  <si>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</si>
  <si>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</si>
  <si>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</si>
  <si>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</si>
  <si>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</si>
  <si>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</si>
  <si>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Allowed Revenue</t>
  </si>
  <si>
    <t>Per Customer</t>
  </si>
  <si>
    <t>1/ Per Docket 13-057-19, Report and Order page 11, Table 3</t>
  </si>
  <si>
    <t>From Revenue Run Output</t>
  </si>
  <si>
    <t>@ Full Cost of Service</t>
  </si>
  <si>
    <t>Prop. Rate</t>
  </si>
  <si>
    <t>Fixed Charges</t>
  </si>
  <si>
    <t>Customers</t>
  </si>
  <si>
    <t>Avg customers</t>
  </si>
  <si>
    <t>Annual customers</t>
  </si>
  <si>
    <t>% getting BSF</t>
  </si>
  <si>
    <t>Adjusted customers</t>
  </si>
  <si>
    <t>BSF #1</t>
  </si>
  <si>
    <t>BSF #2</t>
  </si>
  <si>
    <t>BSF #3</t>
  </si>
  <si>
    <t>BSF #4</t>
  </si>
  <si>
    <t>Meter Differential</t>
  </si>
  <si>
    <t>Total BSF Revenues</t>
  </si>
  <si>
    <t>EAC Charges</t>
  </si>
  <si>
    <t>Total Fixed Charges</t>
  </si>
  <si>
    <t>GS Total Revenue Collection</t>
  </si>
  <si>
    <t>Lakeside Revenue Allocation</t>
  </si>
  <si>
    <t>Utah GS Total</t>
  </si>
  <si>
    <t>NGV Total Revenue Collection</t>
  </si>
  <si>
    <t>Utah NGV Total</t>
  </si>
  <si>
    <t>FS Total Revenue Collection</t>
  </si>
  <si>
    <t>Utah FS Total</t>
  </si>
  <si>
    <t>Annual</t>
  </si>
  <si>
    <t>IS Total Revenue Collection</t>
  </si>
  <si>
    <t>Utah IS Total</t>
  </si>
  <si>
    <t>Administrative Fee</t>
  </si>
  <si>
    <t>Primary</t>
  </si>
  <si>
    <t>Secondary</t>
  </si>
  <si>
    <t>Contract Dth</t>
  </si>
  <si>
    <t>Utah FT-1 SubTotal</t>
  </si>
  <si>
    <t>Utah FT-1 Lakeside</t>
  </si>
  <si>
    <t>Utah FT-1 Total</t>
  </si>
  <si>
    <t>FT-1 Total Revenue Collection</t>
  </si>
  <si>
    <t>Excludes PG Daily demand</t>
  </si>
  <si>
    <t>Utah TS Total</t>
  </si>
  <si>
    <t>Utah FT2-C Total</t>
  </si>
  <si>
    <t>Utah MT Total</t>
  </si>
  <si>
    <t>Utah P&amp;G Total</t>
  </si>
  <si>
    <t>TS Total Revenue Collection</t>
  </si>
  <si>
    <t>Utah TS, FT2-C, MT and P&amp;G Total</t>
  </si>
  <si>
    <t>BSF #5</t>
  </si>
  <si>
    <t>UTAH</t>
  </si>
  <si>
    <t>@ Current Rates</t>
  </si>
  <si>
    <t>@ Proposed Rates</t>
  </si>
  <si>
    <t>Firm</t>
  </si>
  <si>
    <t>GSC</t>
  </si>
  <si>
    <t>F-S</t>
  </si>
  <si>
    <t>Total Utah Firm</t>
  </si>
  <si>
    <t>Interruptible</t>
  </si>
  <si>
    <t>E-1</t>
  </si>
  <si>
    <t>Total Utah Interruptible</t>
  </si>
  <si>
    <t>Total Utah Sales</t>
  </si>
  <si>
    <t>Transportation</t>
  </si>
  <si>
    <t>FT-1L</t>
  </si>
  <si>
    <t>FT-2C</t>
  </si>
  <si>
    <t>TS P&amp;G</t>
  </si>
  <si>
    <t>IT</t>
  </si>
  <si>
    <t>Total Utah Transportation</t>
  </si>
  <si>
    <t>Utah Total Tariff DNG Revenues</t>
  </si>
  <si>
    <t>Utah Other DNG Revenues</t>
  </si>
  <si>
    <t>Utah Total DNG Revenues</t>
  </si>
  <si>
    <t>Total Utah Cost of Service</t>
  </si>
  <si>
    <t>01042414</t>
  </si>
  <si>
    <t>01042423</t>
  </si>
  <si>
    <t>01042430</t>
  </si>
  <si>
    <t>01042431</t>
  </si>
  <si>
    <t>01043634</t>
  </si>
  <si>
    <t>01043285</t>
  </si>
  <si>
    <t>01042622</t>
  </si>
  <si>
    <t>01042470</t>
  </si>
  <si>
    <t>01043252</t>
  </si>
  <si>
    <t>01043518</t>
  </si>
  <si>
    <t>01043697</t>
  </si>
  <si>
    <t>FL6-REPL TAP LINE 3870S 1300E</t>
  </si>
  <si>
    <t>SLIHP-REPL BL SL,10TH 1ST 400S</t>
  </si>
  <si>
    <t>FL006-REPL TAP LINE 4450S1300E</t>
  </si>
  <si>
    <t>FL006-REPL TAP LINE - SLCO</t>
  </si>
  <si>
    <t>FL006-REPL TAP LINE SALTLAKECO</t>
  </si>
  <si>
    <t>FL34-REPL 100'  24"  8120S, WJ</t>
  </si>
  <si>
    <t>SLIHP-REPL BL SL,1st7thE 1700S</t>
  </si>
  <si>
    <t>SLIHP-REPL BL SL,100-800S 200W</t>
  </si>
  <si>
    <t>NOIHP REPL BL,19th30th HARRIS</t>
  </si>
  <si>
    <t>SLIHP-REPL BL SL, RR, 680W800S</t>
  </si>
  <si>
    <t>NOIHP REPL BL,56th62nd HARRIS</t>
  </si>
  <si>
    <t>4/ Current Commission allowed pretax return as shown in Section 2.07 of the Company's tariff</t>
  </si>
  <si>
    <t>5/ Depreciation expense and accumulated depreciation calculated by multiplying the depreciation rate of 2.14%</t>
  </si>
  <si>
    <t xml:space="preserve">    (rate approved in depreciation study Docket No. 13-057-19) by the net investment amount on line 3.</t>
  </si>
  <si>
    <t xml:space="preserve">Updated Base DNG Rates </t>
  </si>
  <si>
    <t>Base Rate</t>
  </si>
  <si>
    <t>2/ See Exhibit 1.1 line 72, column AF</t>
  </si>
  <si>
    <t>3/ Depreciation for tax purposes is calculated using the average ADIT for the test period.  See Exhibit 1.1 line 80, column AH</t>
  </si>
  <si>
    <t>8/</t>
  </si>
  <si>
    <t>Revenue to be Collected from Lakeside</t>
  </si>
  <si>
    <t>Remaining Revenue Requirement</t>
  </si>
  <si>
    <t>7/ In March 2015 the Company collected interruption penalties amounting to $497,638. According to Section 3.02 of the Utah</t>
  </si>
  <si>
    <t xml:space="preserve">    Tariff, this amount is credited to customers as a reduction to the Infrastructure Rate-Adjustment Tracker.</t>
  </si>
  <si>
    <t>FL34 Retirement</t>
  </si>
  <si>
    <t>2/ Total calculated surcharge amount from Exhibit 1.1 page 4, line 15</t>
  </si>
  <si>
    <t>SLC IHP Belt Lines Retirement</t>
  </si>
  <si>
    <t>NO IHP Belt Lines Retirement</t>
  </si>
  <si>
    <t>Provo IHP Belt Lines Retirement</t>
  </si>
  <si>
    <t>6/ December 2014 and January 2015 revenue collected using regular tax depreciation rates ($1,558,409.23)</t>
  </si>
  <si>
    <t xml:space="preserve">    LESS December 2014 and January 2015 revenue collected using Bonus tax depreciation rates ($1,500,532.51), = -57,876.72</t>
  </si>
  <si>
    <t>Rate Calculation - Step-Two Base DNG Rates</t>
  </si>
  <si>
    <t>13-057-05 and 13-057-19</t>
  </si>
  <si>
    <t>Questar 13 Month Avg (Net Plant)</t>
  </si>
  <si>
    <t>Lakeside Revenue</t>
  </si>
  <si>
    <t xml:space="preserve"> by month as shown in Exhibit 1.2.</t>
  </si>
  <si>
    <t>1/ Revenue based on infrastructure tracker replacement rates shown on</t>
  </si>
  <si>
    <t>Exhibit 1.5, column I, Rows 18-22</t>
  </si>
  <si>
    <t>8/ This is the amount of revenue to be collected from Lakeside at the FT1 Infrastructure Replacement Rate to be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</si>
</sst>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%"/>
    <numFmt numFmtId="167" formatCode="0.0000%"/>
    <numFmt numFmtId="168" formatCode="_(&quot;$&quot;* #,##0_);_(&quot;$&quot;* \(#,##0\);_(&quot;$&quot;* &quot;-&quot;??_);_(@_)"/>
    <numFmt numFmtId="169" formatCode="#,##0.00000_);\(#,##0.00000\)"/>
    <numFmt numFmtId="170" formatCode="0.0000000_)"/>
    <numFmt numFmtId="171" formatCode="#,##0.00000"/>
    <numFmt numFmtId="172" formatCode="&quot;$&quot;#,##0.00000_);\(&quot;$&quot;#,##0.00000\)"/>
    <numFmt numFmtId="173" formatCode="#,##0.0"/>
    <numFmt numFmtId="174" formatCode="#,##0.0_);\(#,##0.0\)"/>
    <numFmt numFmtId="175" formatCode="0.00_);\(0.00\)"/>
    <numFmt numFmtId="176" formatCode="[$-409]d\-mmm\-yy;@"/>
    <numFmt numFmtId="177" formatCode="0.00000"/>
    <numFmt numFmtId="178" formatCode="_(* #,##0.00000_);_(* \(#,##0.00000\);_(* &quot;-&quot;??_);_(@_)"/>
    <numFmt numFmtId="179" formatCode="#,##0.000000_);\(#,##0.000000\)"/>
    <numFmt numFmtId="180" formatCode="_(* #,##0.0000_);_(* \(#,##0.0000\);_(* &quot;-&quot;??_);_(@_)"/>
    <numFmt numFmtId="181" formatCode="&quot;$&quot;#,##0"/>
  </numFmts>
  <fonts count="23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b/>
      <sz val="12"/>
      <name val="MS Sans Serif"/>
      <family val="2"/>
    </font>
    <font>
      <sz val="1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color rgb="FF000000"/>
      <name val="Arial"/>
      <family val="2"/>
    </font>
    <font>
      <sz val="12"/>
      <name val="Times New Roman"/>
      <family val="1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25">
    <xf numFmtId="164" fontId="0" fillId="0" borderId="0"/>
    <xf numFmtId="164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" fillId="0" borderId="1">
      <alignment horizontal="center"/>
    </xf>
    <xf numFmtId="3" fontId="3" fillId="0" borderId="0" applyFont="0" applyFill="0" applyBorder="0" applyAlignment="0" applyProtection="0"/>
    <xf numFmtId="164" fontId="3" fillId="2" borderId="0" applyNumberFormat="0" applyFon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6" fillId="0" borderId="0"/>
    <xf numFmtId="44" fontId="19" fillId="0" borderId="0" applyFont="0" applyFill="0" applyBorder="0" applyAlignment="0" applyProtection="0"/>
    <xf numFmtId="43" fontId="6" fillId="0" borderId="0" applyFont="0" applyFill="0" applyBorder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Protection="0"/>
    <xf numFmtId="43" fontId="6" fillId="0" borderId="0" applyFont="0" applyFill="0" applyBorder="0" applyProtection="0"/>
    <xf numFmtId="44" fontId="1" fillId="0" borderId="0" applyFont="0" applyFill="0" applyBorder="0" applyAlignment="0" applyProtection="0"/>
    <xf numFmtId="0" fontId="2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</cellStyleXfs>
  <cellXfs count="370">
    <xf numFmtId="164" fontId="0" fillId="0" borderId="0" xfId="0"/>
    <xf numFmtId="38" fontId="0" fillId="0" borderId="0" xfId="0" applyNumberFormat="1"/>
    <xf numFmtId="164" fontId="4" fillId="0" borderId="0" xfId="0" applyFont="1"/>
    <xf numFmtId="164" fontId="5" fillId="0" borderId="0" xfId="0" applyFont="1"/>
    <xf numFmtId="164" fontId="0" fillId="0" borderId="0" xfId="0" applyBorder="1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164" fontId="0" fillId="0" borderId="0" xfId="0" quotePrefix="1"/>
    <xf numFmtId="2" fontId="0" fillId="0" borderId="0" xfId="0" applyNumberFormat="1"/>
    <xf numFmtId="1" fontId="0" fillId="0" borderId="0" xfId="0" applyNumberFormat="1"/>
    <xf numFmtId="165" fontId="0" fillId="0" borderId="0" xfId="7" applyNumberFormat="1" applyFont="1"/>
    <xf numFmtId="0" fontId="5" fillId="0" borderId="0" xfId="0" applyNumberFormat="1" applyFont="1" applyAlignment="1">
      <alignment horizontal="center"/>
    </xf>
    <xf numFmtId="166" fontId="0" fillId="0" borderId="0" xfId="8" applyNumberFormat="1" applyFont="1"/>
    <xf numFmtId="167" fontId="0" fillId="0" borderId="0" xfId="8" applyNumberFormat="1" applyFont="1"/>
    <xf numFmtId="43" fontId="5" fillId="0" borderId="2" xfId="7" applyFont="1" applyBorder="1"/>
    <xf numFmtId="164" fontId="0" fillId="0" borderId="0" xfId="0" applyFont="1" applyAlignment="1">
      <alignment horizontal="left"/>
    </xf>
    <xf numFmtId="164" fontId="0" fillId="0" borderId="0" xfId="7" applyNumberFormat="1" applyFont="1" applyAlignment="1">
      <alignment horizontal="center"/>
    </xf>
    <xf numFmtId="38" fontId="0" fillId="0" borderId="0" xfId="7" applyNumberFormat="1" applyFont="1"/>
    <xf numFmtId="165" fontId="0" fillId="0" borderId="3" xfId="7" applyNumberFormat="1" applyFont="1" applyBorder="1"/>
    <xf numFmtId="164" fontId="5" fillId="0" borderId="0" xfId="0" applyFont="1" applyAlignment="1">
      <alignment horizontal="center"/>
    </xf>
    <xf numFmtId="164" fontId="7" fillId="0" borderId="0" xfId="0" applyFont="1"/>
    <xf numFmtId="164" fontId="7" fillId="0" borderId="0" xfId="0" applyFont="1" applyAlignment="1">
      <alignment horizontal="center"/>
    </xf>
    <xf numFmtId="164" fontId="7" fillId="0" borderId="0" xfId="0" applyFont="1" applyAlignment="1"/>
    <xf numFmtId="164" fontId="7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left" vertical="top"/>
    </xf>
    <xf numFmtId="6" fontId="7" fillId="0" borderId="0" xfId="0" applyNumberFormat="1" applyFont="1"/>
    <xf numFmtId="5" fontId="7" fillId="0" borderId="0" xfId="0" applyNumberFormat="1" applyFont="1"/>
    <xf numFmtId="6" fontId="7" fillId="0" borderId="4" xfId="0" applyNumberFormat="1" applyFont="1" applyBorder="1"/>
    <xf numFmtId="10" fontId="7" fillId="0" borderId="0" xfId="8" applyNumberFormat="1" applyFont="1"/>
    <xf numFmtId="164" fontId="7" fillId="0" borderId="0" xfId="0" applyFont="1" applyBorder="1" applyAlignment="1"/>
    <xf numFmtId="6" fontId="0" fillId="0" borderId="0" xfId="0" applyNumberFormat="1" applyFill="1" applyBorder="1"/>
    <xf numFmtId="6" fontId="0" fillId="0" borderId="0" xfId="0" applyNumberFormat="1" applyBorder="1"/>
    <xf numFmtId="5" fontId="0" fillId="0" borderId="0" xfId="0" applyNumberFormat="1" applyBorder="1"/>
    <xf numFmtId="0" fontId="7" fillId="0" borderId="0" xfId="0" applyNumberFormat="1" applyFont="1"/>
    <xf numFmtId="0" fontId="0" fillId="0" borderId="0" xfId="0" applyNumberFormat="1"/>
    <xf numFmtId="164" fontId="0" fillId="0" borderId="0" xfId="0" quotePrefix="1" applyFill="1"/>
    <xf numFmtId="0" fontId="6" fillId="0" borderId="0" xfId="9"/>
    <xf numFmtId="5" fontId="6" fillId="0" borderId="0" xfId="9" applyNumberFormat="1" applyFont="1"/>
    <xf numFmtId="0" fontId="6" fillId="0" borderId="0" xfId="9" applyFont="1"/>
    <xf numFmtId="0" fontId="6" fillId="0" borderId="0" xfId="9" applyFont="1" applyAlignment="1">
      <alignment horizontal="center"/>
    </xf>
    <xf numFmtId="0" fontId="6" fillId="0" borderId="0" xfId="9" applyFont="1" applyAlignment="1">
      <alignment horizontal="center" vertical="center"/>
    </xf>
    <xf numFmtId="0" fontId="6" fillId="0" borderId="0" xfId="9" quotePrefix="1" applyFont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/>
    </xf>
    <xf numFmtId="0" fontId="6" fillId="0" borderId="0" xfId="9" quotePrefix="1" applyFont="1" applyAlignment="1">
      <alignment horizontal="center"/>
    </xf>
    <xf numFmtId="0" fontId="6" fillId="0" borderId="4" xfId="9" applyFont="1" applyBorder="1"/>
    <xf numFmtId="0" fontId="6" fillId="0" borderId="4" xfId="9" applyFont="1" applyFill="1" applyBorder="1" applyAlignment="1">
      <alignment horizontal="center"/>
    </xf>
    <xf numFmtId="0" fontId="6" fillId="0" borderId="0" xfId="9" applyAlignment="1">
      <alignment horizontal="center"/>
    </xf>
    <xf numFmtId="168" fontId="7" fillId="0" borderId="2" xfId="10" applyNumberFormat="1" applyFont="1" applyBorder="1"/>
    <xf numFmtId="168" fontId="7" fillId="0" borderId="0" xfId="10" applyNumberFormat="1" applyFont="1" applyBorder="1"/>
    <xf numFmtId="10" fontId="7" fillId="0" borderId="0" xfId="8" applyNumberFormat="1" applyFont="1" applyBorder="1"/>
    <xf numFmtId="165" fontId="7" fillId="0" borderId="0" xfId="11" applyNumberFormat="1" applyFont="1"/>
    <xf numFmtId="165" fontId="7" fillId="0" borderId="0" xfId="11" applyNumberFormat="1" applyFont="1" applyBorder="1"/>
    <xf numFmtId="165" fontId="7" fillId="0" borderId="4" xfId="11" applyNumberFormat="1" applyFont="1" applyBorder="1"/>
    <xf numFmtId="168" fontId="7" fillId="0" borderId="4" xfId="10" applyNumberFormat="1" applyFont="1" applyBorder="1"/>
    <xf numFmtId="168" fontId="7" fillId="0" borderId="0" xfId="10" applyNumberFormat="1" applyFont="1"/>
    <xf numFmtId="9" fontId="7" fillId="0" borderId="0" xfId="8" applyFont="1"/>
    <xf numFmtId="0" fontId="8" fillId="0" borderId="0" xfId="12" applyFont="1" applyFill="1" applyAlignment="1">
      <alignment horizontal="center"/>
    </xf>
    <xf numFmtId="0" fontId="6" fillId="0" borderId="0" xfId="12" applyFont="1" applyFill="1" applyAlignment="1"/>
    <xf numFmtId="3" fontId="6" fillId="0" borderId="0" xfId="12" applyNumberFormat="1" applyFont="1" applyFill="1" applyAlignment="1">
      <alignment horizontal="center"/>
    </xf>
    <xf numFmtId="0" fontId="6" fillId="0" borderId="0" xfId="12" applyFont="1" applyFill="1" applyBorder="1" applyAlignment="1"/>
    <xf numFmtId="0" fontId="8" fillId="0" borderId="0" xfId="12" applyFont="1" applyFill="1" applyBorder="1" applyAlignment="1">
      <alignment horizontal="center"/>
    </xf>
    <xf numFmtId="0" fontId="8" fillId="0" borderId="0" xfId="12" quotePrefix="1" applyFont="1" applyFill="1" applyBorder="1" applyAlignment="1" applyProtection="1">
      <alignment horizontal="left"/>
    </xf>
    <xf numFmtId="0" fontId="6" fillId="0" borderId="0" xfId="12" applyFont="1" applyFill="1" applyBorder="1" applyAlignment="1" applyProtection="1"/>
    <xf numFmtId="3" fontId="6" fillId="0" borderId="0" xfId="12" applyNumberFormat="1" applyFont="1" applyFill="1" applyBorder="1" applyAlignment="1" applyProtection="1">
      <alignment horizontal="center"/>
    </xf>
    <xf numFmtId="0" fontId="8" fillId="0" borderId="0" xfId="12" applyFont="1" applyFill="1" applyAlignment="1" applyProtection="1">
      <alignment horizontal="center"/>
    </xf>
    <xf numFmtId="0" fontId="8" fillId="0" borderId="0" xfId="12" applyFont="1" applyFill="1" applyAlignment="1" applyProtection="1"/>
    <xf numFmtId="0" fontId="8" fillId="0" borderId="1" xfId="12" applyFont="1" applyFill="1" applyBorder="1" applyAlignment="1"/>
    <xf numFmtId="0" fontId="8" fillId="0" borderId="1" xfId="12" applyFont="1" applyFill="1" applyBorder="1" applyAlignment="1" applyProtection="1"/>
    <xf numFmtId="3" fontId="8" fillId="0" borderId="1" xfId="12" applyNumberFormat="1" applyFont="1" applyFill="1" applyBorder="1" applyAlignment="1" applyProtection="1">
      <alignment horizontal="center"/>
    </xf>
    <xf numFmtId="3" fontId="8" fillId="0" borderId="0" xfId="12" applyNumberFormat="1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/>
    </xf>
    <xf numFmtId="0" fontId="8" fillId="0" borderId="1" xfId="12" quotePrefix="1" applyFont="1" applyFill="1" applyBorder="1" applyAlignment="1" applyProtection="1">
      <alignment horizontal="center"/>
    </xf>
    <xf numFmtId="0" fontId="10" fillId="0" borderId="0" xfId="12" quotePrefix="1" applyFont="1" applyFill="1" applyBorder="1" applyAlignment="1" applyProtection="1">
      <alignment horizontal="left"/>
    </xf>
    <xf numFmtId="37" fontId="10" fillId="0" borderId="0" xfId="12" quotePrefix="1" applyNumberFormat="1" applyFont="1" applyFill="1" applyBorder="1" applyAlignment="1" applyProtection="1">
      <alignment horizontal="center"/>
    </xf>
    <xf numFmtId="37" fontId="10" fillId="0" borderId="0" xfId="12" applyNumberFormat="1" applyFont="1" applyFill="1" applyAlignment="1"/>
    <xf numFmtId="169" fontId="10" fillId="0" borderId="0" xfId="12" applyNumberFormat="1" applyFont="1" applyFill="1" applyAlignment="1"/>
    <xf numFmtId="37" fontId="10" fillId="0" borderId="0" xfId="12" applyNumberFormat="1" applyFont="1" applyFill="1" applyAlignment="1" applyProtection="1"/>
    <xf numFmtId="4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/>
    <xf numFmtId="169" fontId="10" fillId="0" borderId="0" xfId="12" applyNumberFormat="1" applyFont="1" applyFill="1" applyAlignment="1" applyProtection="1"/>
    <xf numFmtId="170" fontId="6" fillId="0" borderId="0" xfId="12" applyNumberFormat="1" applyFont="1" applyFill="1" applyBorder="1" applyAlignment="1" applyProtection="1"/>
    <xf numFmtId="0" fontId="10" fillId="0" borderId="0" xfId="12" applyFont="1" applyFill="1" applyAlignment="1"/>
    <xf numFmtId="3" fontId="10" fillId="0" borderId="0" xfId="12" quotePrefix="1" applyNumberFormat="1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/>
    <xf numFmtId="0" fontId="11" fillId="0" borderId="0" xfId="12" quotePrefix="1" applyFont="1" applyFill="1" applyBorder="1" applyAlignment="1" applyProtection="1">
      <alignment horizontal="left"/>
    </xf>
    <xf numFmtId="37" fontId="10" fillId="0" borderId="3" xfId="12" applyNumberFormat="1" applyFont="1" applyFill="1" applyBorder="1" applyAlignment="1"/>
    <xf numFmtId="169" fontId="10" fillId="0" borderId="3" xfId="12" applyNumberFormat="1" applyFont="1" applyFill="1" applyBorder="1" applyAlignment="1"/>
    <xf numFmtId="171" fontId="6" fillId="0" borderId="0" xfId="12" applyNumberFormat="1" applyFont="1" applyFill="1" applyBorder="1" applyAlignment="1" applyProtection="1"/>
    <xf numFmtId="10" fontId="10" fillId="0" borderId="3" xfId="13" applyNumberFormat="1" applyFont="1" applyFill="1" applyBorder="1" applyAlignment="1"/>
    <xf numFmtId="0" fontId="6" fillId="0" borderId="0" xfId="12" quotePrefix="1" applyFont="1" applyFill="1" applyBorder="1" applyAlignment="1" applyProtection="1">
      <alignment horizontal="left"/>
    </xf>
    <xf numFmtId="3" fontId="6" fillId="0" borderId="0" xfId="12" quotePrefix="1" applyNumberFormat="1" applyFont="1" applyFill="1" applyBorder="1" applyAlignment="1" applyProtection="1">
      <alignment horizontal="center"/>
    </xf>
    <xf numFmtId="37" fontId="6" fillId="0" borderId="0" xfId="12" applyNumberFormat="1" applyFont="1" applyFill="1" applyAlignment="1"/>
    <xf numFmtId="172" fontId="6" fillId="0" borderId="0" xfId="12" applyNumberFormat="1" applyFont="1" applyFill="1" applyAlignment="1"/>
    <xf numFmtId="37" fontId="6" fillId="0" borderId="0" xfId="12" applyNumberFormat="1" applyFont="1" applyFill="1" applyAlignment="1" applyProtection="1"/>
    <xf numFmtId="0" fontId="6" fillId="0" borderId="1" xfId="12" applyFont="1" applyFill="1" applyBorder="1" applyAlignment="1" applyProtection="1"/>
    <xf numFmtId="3" fontId="6" fillId="0" borderId="1" xfId="12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 applyProtection="1"/>
    <xf numFmtId="37" fontId="6" fillId="0" borderId="0" xfId="12" applyNumberFormat="1" applyFont="1" applyFill="1" applyBorder="1" applyAlignment="1" applyProtection="1"/>
    <xf numFmtId="0" fontId="10" fillId="0" borderId="0" xfId="12" applyFont="1" applyFill="1" applyBorder="1" applyAlignment="1" applyProtection="1">
      <alignment horizontal="left"/>
    </xf>
    <xf numFmtId="10" fontId="10" fillId="0" borderId="2" xfId="13" applyNumberFormat="1" applyFont="1" applyFill="1" applyBorder="1" applyAlignment="1"/>
    <xf numFmtId="10" fontId="10" fillId="0" borderId="0" xfId="13" applyNumberFormat="1" applyFont="1" applyFill="1" applyBorder="1" applyAlignment="1"/>
    <xf numFmtId="5" fontId="10" fillId="0" borderId="1" xfId="12" applyNumberFormat="1" applyFont="1" applyFill="1" applyBorder="1" applyAlignment="1" applyProtection="1"/>
    <xf numFmtId="5" fontId="6" fillId="0" borderId="1" xfId="12" applyNumberFormat="1" applyFont="1" applyFill="1" applyBorder="1" applyAlignment="1" applyProtection="1"/>
    <xf numFmtId="5" fontId="10" fillId="0" borderId="0" xfId="12" applyNumberFormat="1" applyFont="1" applyFill="1" applyBorder="1" applyAlignment="1" applyProtection="1"/>
    <xf numFmtId="5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 applyProtection="1"/>
    <xf numFmtId="172" fontId="10" fillId="0" borderId="0" xfId="12" applyNumberFormat="1" applyFont="1" applyFill="1" applyAlignment="1"/>
    <xf numFmtId="37" fontId="10" fillId="0" borderId="2" xfId="12" applyNumberFormat="1" applyFont="1" applyFill="1" applyBorder="1" applyAlignment="1"/>
    <xf numFmtId="172" fontId="10" fillId="0" borderId="2" xfId="12" applyNumberFormat="1" applyFont="1" applyFill="1" applyBorder="1" applyAlignment="1"/>
    <xf numFmtId="37" fontId="10" fillId="0" borderId="0" xfId="12" applyNumberFormat="1" applyFont="1" applyFill="1" applyBorder="1" applyAlignment="1"/>
    <xf numFmtId="172" fontId="10" fillId="0" borderId="0" xfId="12" applyNumberFormat="1" applyFont="1" applyFill="1" applyBorder="1" applyAlignment="1"/>
    <xf numFmtId="37" fontId="10" fillId="0" borderId="0" xfId="12" applyNumberFormat="1" applyFont="1" applyFill="1" applyAlignment="1">
      <alignment horizontal="center"/>
    </xf>
    <xf numFmtId="37" fontId="10" fillId="0" borderId="0" xfId="12" applyNumberFormat="1" applyFont="1" applyFill="1" applyBorder="1" applyAlignment="1">
      <alignment horizontal="center"/>
    </xf>
    <xf numFmtId="0" fontId="12" fillId="0" borderId="1" xfId="12" applyFont="1" applyFill="1" applyBorder="1" applyAlignment="1" applyProtection="1"/>
    <xf numFmtId="0" fontId="6" fillId="0" borderId="1" xfId="12" quotePrefix="1" applyFont="1" applyFill="1" applyBorder="1" applyAlignment="1" applyProtection="1">
      <alignment horizontal="left"/>
    </xf>
    <xf numFmtId="3" fontId="6" fillId="0" borderId="1" xfId="12" quotePrefix="1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/>
    <xf numFmtId="172" fontId="6" fillId="0" borderId="1" xfId="12" applyNumberFormat="1" applyFont="1" applyFill="1" applyBorder="1" applyAlignment="1"/>
    <xf numFmtId="0" fontId="12" fillId="0" borderId="0" xfId="12" applyFont="1" applyFill="1" applyBorder="1" applyAlignment="1" applyProtection="1"/>
    <xf numFmtId="37" fontId="6" fillId="0" borderId="0" xfId="12" applyNumberFormat="1" applyFont="1" applyFill="1" applyBorder="1" applyAlignment="1"/>
    <xf numFmtId="172" fontId="6" fillId="0" borderId="0" xfId="12" applyNumberFormat="1" applyFont="1" applyFill="1" applyBorder="1" applyAlignment="1"/>
    <xf numFmtId="3" fontId="12" fillId="0" borderId="0" xfId="12" applyNumberFormat="1" applyFont="1" applyFill="1" applyBorder="1" applyAlignment="1" applyProtection="1">
      <alignment horizontal="center"/>
    </xf>
    <xf numFmtId="10" fontId="6" fillId="0" borderId="0" xfId="13" applyNumberFormat="1" applyFont="1" applyFill="1" applyBorder="1" applyAlignment="1" applyProtection="1"/>
    <xf numFmtId="169" fontId="10" fillId="0" borderId="0" xfId="12" applyNumberFormat="1" applyFont="1" applyFill="1" applyBorder="1" applyAlignment="1"/>
    <xf numFmtId="0" fontId="6" fillId="0" borderId="0" xfId="12" applyFont="1" applyFill="1" applyBorder="1" applyAlignment="1">
      <alignment horizontal="left"/>
    </xf>
    <xf numFmtId="37" fontId="10" fillId="0" borderId="4" xfId="12" applyNumberFormat="1" applyFont="1" applyFill="1" applyBorder="1" applyAlignment="1"/>
    <xf numFmtId="10" fontId="6" fillId="0" borderId="4" xfId="13" applyNumberFormat="1" applyFont="1" applyFill="1" applyBorder="1" applyAlignment="1" applyProtection="1"/>
    <xf numFmtId="169" fontId="10" fillId="0" borderId="4" xfId="12" applyNumberFormat="1" applyFont="1" applyFill="1" applyBorder="1" applyAlignment="1"/>
    <xf numFmtId="7" fontId="6" fillId="0" borderId="0" xfId="12" applyNumberFormat="1" applyFont="1" applyFill="1" applyBorder="1" applyAlignment="1" applyProtection="1"/>
    <xf numFmtId="0" fontId="10" fillId="0" borderId="1" xfId="12" applyFont="1" applyFill="1" applyBorder="1" applyAlignment="1" applyProtection="1"/>
    <xf numFmtId="3" fontId="12" fillId="0" borderId="1" xfId="12" applyNumberFormat="1" applyFont="1" applyFill="1" applyBorder="1" applyAlignment="1" applyProtection="1">
      <alignment horizontal="center"/>
    </xf>
    <xf numFmtId="37" fontId="10" fillId="0" borderId="1" xfId="12" applyNumberFormat="1" applyFont="1" applyFill="1" applyBorder="1" applyAlignment="1"/>
    <xf numFmtId="7" fontId="6" fillId="0" borderId="1" xfId="12" applyNumberFormat="1" applyFont="1" applyFill="1" applyBorder="1" applyAlignment="1" applyProtection="1"/>
    <xf numFmtId="172" fontId="10" fillId="0" borderId="0" xfId="12" applyNumberFormat="1" applyFont="1" applyFill="1" applyBorder="1" applyAlignment="1">
      <alignment horizontal="center"/>
    </xf>
    <xf numFmtId="0" fontId="6" fillId="0" borderId="0" xfId="12" applyFont="1" applyFill="1" applyAlignment="1">
      <alignment horizontal="right"/>
    </xf>
    <xf numFmtId="5" fontId="8" fillId="0" borderId="6" xfId="12" applyNumberFormat="1" applyFont="1" applyFill="1" applyBorder="1" applyAlignment="1"/>
    <xf numFmtId="0" fontId="6" fillId="0" borderId="0" xfId="14" applyFont="1" applyFill="1" applyProtection="1"/>
    <xf numFmtId="0" fontId="8" fillId="0" borderId="0" xfId="14" applyFont="1" applyFill="1" applyAlignment="1" applyProtection="1">
      <alignment horizontal="center"/>
    </xf>
    <xf numFmtId="0" fontId="6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right"/>
    </xf>
    <xf numFmtId="0" fontId="8" fillId="0" borderId="0" xfId="14" applyFont="1" applyFill="1" applyProtection="1"/>
    <xf numFmtId="0" fontId="6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 applyProtection="1">
      <alignment horizontal="right" vertical="center"/>
    </xf>
    <xf numFmtId="0" fontId="8" fillId="0" borderId="0" xfId="14" applyFont="1" applyFill="1" applyAlignment="1" applyProtection="1">
      <alignment vertical="center"/>
    </xf>
    <xf numFmtId="0" fontId="6" fillId="0" borderId="0" xfId="14" applyFont="1" applyFill="1" applyAlignment="1" applyProtection="1">
      <alignment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1" xfId="14" quotePrefix="1" applyFont="1" applyFill="1" applyBorder="1" applyAlignment="1" applyProtection="1">
      <alignment horizontal="right" vertical="top"/>
    </xf>
    <xf numFmtId="0" fontId="8" fillId="0" borderId="1" xfId="14" applyFont="1" applyFill="1" applyBorder="1" applyAlignment="1" applyProtection="1">
      <alignment horizontal="right" vertical="top"/>
    </xf>
    <xf numFmtId="173" fontId="10" fillId="0" borderId="0" xfId="9" applyNumberFormat="1" applyFont="1" applyAlignment="1" applyProtection="1">
      <alignment horizontal="right"/>
    </xf>
    <xf numFmtId="7" fontId="6" fillId="0" borderId="0" xfId="14" applyNumberFormat="1" applyFont="1" applyFill="1" applyAlignment="1" applyProtection="1">
      <alignment horizontal="right"/>
    </xf>
    <xf numFmtId="39" fontId="6" fillId="0" borderId="0" xfId="14" applyNumberFormat="1" applyFont="1" applyFill="1" applyAlignment="1" applyProtection="1">
      <alignment horizontal="right"/>
    </xf>
    <xf numFmtId="174" fontId="6" fillId="0" borderId="6" xfId="14" applyNumberFormat="1" applyFont="1" applyFill="1" applyBorder="1" applyAlignment="1" applyProtection="1">
      <alignment horizontal="center"/>
    </xf>
    <xf numFmtId="7" fontId="6" fillId="0" borderId="6" xfId="14" applyNumberFormat="1" applyFont="1" applyFill="1" applyBorder="1" applyAlignment="1" applyProtection="1">
      <alignment horizontal="center"/>
    </xf>
    <xf numFmtId="39" fontId="6" fillId="0" borderId="6" xfId="14" applyNumberFormat="1" applyFont="1" applyFill="1" applyBorder="1" applyAlignment="1" applyProtection="1">
      <alignment horizontal="center"/>
    </xf>
    <xf numFmtId="39" fontId="6" fillId="0" borderId="0" xfId="14" applyNumberFormat="1" applyFont="1" applyFill="1" applyBorder="1" applyAlignment="1" applyProtection="1">
      <alignment horizontal="center"/>
    </xf>
    <xf numFmtId="174" fontId="6" fillId="0" borderId="0" xfId="14" applyNumberFormat="1" applyFont="1" applyFill="1" applyAlignment="1" applyProtection="1">
      <alignment horizontal="center"/>
    </xf>
    <xf numFmtId="7" fontId="6" fillId="0" borderId="0" xfId="14" applyNumberFormat="1" applyFont="1" applyFill="1" applyAlignment="1" applyProtection="1">
      <alignment horizontal="center"/>
    </xf>
    <xf numFmtId="174" fontId="6" fillId="0" borderId="0" xfId="14" applyNumberFormat="1" applyFont="1" applyFill="1" applyAlignment="1">
      <alignment horizontal="center"/>
    </xf>
    <xf numFmtId="174" fontId="6" fillId="0" borderId="0" xfId="14" applyNumberFormat="1" applyFont="1" applyFill="1" applyAlignment="1" applyProtection="1">
      <alignment horizontal="right"/>
    </xf>
    <xf numFmtId="7" fontId="6" fillId="0" borderId="0" xfId="14" applyNumberFormat="1" applyFont="1" applyFill="1" applyProtection="1"/>
    <xf numFmtId="0" fontId="6" fillId="0" borderId="0" xfId="14" applyFont="1" applyFill="1" applyAlignment="1" applyProtection="1">
      <alignment horizontal="right"/>
    </xf>
    <xf numFmtId="175" fontId="6" fillId="0" borderId="0" xfId="13" applyNumberFormat="1" applyFont="1" applyFill="1" applyAlignment="1" applyProtection="1">
      <alignment horizontal="right"/>
    </xf>
    <xf numFmtId="0" fontId="6" fillId="0" borderId="0" xfId="14" quotePrefix="1" applyFont="1" applyFill="1" applyAlignment="1" applyProtection="1">
      <alignment horizontal="left"/>
    </xf>
    <xf numFmtId="176" fontId="6" fillId="0" borderId="0" xfId="9" applyNumberFormat="1" applyBorder="1"/>
    <xf numFmtId="0" fontId="6" fillId="0" borderId="0" xfId="9" applyBorder="1"/>
    <xf numFmtId="0" fontId="6" fillId="0" borderId="1" xfId="9" applyFont="1" applyBorder="1"/>
    <xf numFmtId="0" fontId="6" fillId="0" borderId="1" xfId="9" quotePrefix="1" applyFont="1" applyBorder="1" applyAlignment="1">
      <alignment horizontal="center"/>
    </xf>
    <xf numFmtId="0" fontId="6" fillId="0" borderId="0" xfId="9" applyFont="1" applyBorder="1"/>
    <xf numFmtId="2" fontId="6" fillId="0" borderId="0" xfId="9" applyNumberFormat="1" applyBorder="1"/>
    <xf numFmtId="177" fontId="6" fillId="0" borderId="0" xfId="9" applyNumberFormat="1" applyBorder="1"/>
    <xf numFmtId="0" fontId="6" fillId="0" borderId="0" xfId="9" quotePrefix="1" applyFont="1" applyBorder="1" applyAlignment="1">
      <alignment horizontal="center"/>
    </xf>
    <xf numFmtId="14" fontId="14" fillId="0" borderId="0" xfId="14" quotePrefix="1" applyNumberFormat="1" applyFont="1" applyFill="1" applyBorder="1" applyAlignment="1" applyProtection="1">
      <alignment horizontal="center" vertical="top"/>
    </xf>
    <xf numFmtId="177" fontId="6" fillId="0" borderId="0" xfId="9" applyNumberFormat="1" applyFont="1" applyBorder="1"/>
    <xf numFmtId="164" fontId="5" fillId="0" borderId="0" xfId="0" applyFont="1" applyAlignment="1"/>
    <xf numFmtId="164" fontId="3" fillId="0" borderId="0" xfId="0" applyFont="1"/>
    <xf numFmtId="165" fontId="0" fillId="0" borderId="0" xfId="7" applyNumberFormat="1" applyFont="1" applyFill="1"/>
    <xf numFmtId="164" fontId="2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top"/>
    </xf>
    <xf numFmtId="164" fontId="0" fillId="3" borderId="0" xfId="0" applyFill="1"/>
    <xf numFmtId="164" fontId="0" fillId="0" borderId="0" xfId="0" quotePrefix="1" applyFont="1" applyAlignment="1">
      <alignment horizontal="left" indent="1"/>
    </xf>
    <xf numFmtId="164" fontId="0" fillId="0" borderId="0" xfId="0" quotePrefix="1" applyFont="1" applyAlignment="1">
      <alignment horizontal="left"/>
    </xf>
    <xf numFmtId="43" fontId="0" fillId="0" borderId="3" xfId="7" applyFont="1" applyBorder="1"/>
    <xf numFmtId="164" fontId="0" fillId="4" borderId="0" xfId="0" applyFill="1"/>
    <xf numFmtId="164" fontId="4" fillId="0" borderId="0" xfId="0" applyFont="1" applyFill="1"/>
    <xf numFmtId="5" fontId="7" fillId="0" borderId="0" xfId="0" applyNumberFormat="1" applyFont="1" applyFill="1"/>
    <xf numFmtId="165" fontId="7" fillId="0" borderId="4" xfId="0" applyNumberFormat="1" applyFont="1" applyFill="1" applyBorder="1"/>
    <xf numFmtId="0" fontId="0" fillId="0" borderId="0" xfId="0" applyNumberFormat="1" applyFill="1"/>
    <xf numFmtId="7" fontId="6" fillId="0" borderId="4" xfId="12" applyNumberFormat="1" applyFont="1" applyFill="1" applyBorder="1" applyAlignment="1" applyProtection="1"/>
    <xf numFmtId="169" fontId="10" fillId="0" borderId="5" xfId="12" applyNumberFormat="1" applyFont="1" applyFill="1" applyBorder="1" applyAlignment="1"/>
    <xf numFmtId="1" fontId="3" fillId="0" borderId="0" xfId="0" applyNumberFormat="1" applyFont="1"/>
    <xf numFmtId="7" fontId="6" fillId="0" borderId="0" xfId="12" applyNumberFormat="1" applyFont="1" applyFill="1" applyAlignment="1"/>
    <xf numFmtId="178" fontId="0" fillId="0" borderId="0" xfId="7" applyNumberFormat="1" applyFont="1"/>
    <xf numFmtId="164" fontId="0" fillId="0" borderId="0" xfId="0" applyFill="1" applyBorder="1"/>
    <xf numFmtId="164" fontId="0" fillId="0" borderId="7" xfId="0" quotePrefix="1" applyBorder="1"/>
    <xf numFmtId="1" fontId="0" fillId="0" borderId="0" xfId="0" quotePrefix="1" applyNumberFormat="1" applyFill="1" applyBorder="1" applyAlignment="1">
      <alignment horizontal="left"/>
    </xf>
    <xf numFmtId="164" fontId="3" fillId="4" borderId="0" xfId="0" applyFont="1" applyFill="1"/>
    <xf numFmtId="169" fontId="11" fillId="0" borderId="0" xfId="12" applyNumberFormat="1" applyFont="1" applyFill="1" applyAlignment="1" applyProtection="1"/>
    <xf numFmtId="164" fontId="2" fillId="0" borderId="0" xfId="0" applyFont="1"/>
    <xf numFmtId="164" fontId="0" fillId="0" borderId="0" xfId="0" quotePrefix="1" applyFont="1"/>
    <xf numFmtId="1" fontId="3" fillId="0" borderId="0" xfId="0" quotePrefix="1" applyNumberFormat="1" applyFont="1" applyFill="1" applyBorder="1" applyAlignment="1">
      <alignment horizontal="left"/>
    </xf>
    <xf numFmtId="178" fontId="10" fillId="0" borderId="0" xfId="7" applyNumberFormat="1" applyFont="1" applyFill="1" applyAlignment="1" applyProtection="1"/>
    <xf numFmtId="43" fontId="3" fillId="0" borderId="0" xfId="7" applyFont="1" applyAlignment="1">
      <alignment horizontal="center"/>
    </xf>
    <xf numFmtId="43" fontId="3" fillId="0" borderId="0" xfId="7" applyFont="1"/>
    <xf numFmtId="164" fontId="3" fillId="0" borderId="0" xfId="0" quotePrefix="1" applyFont="1"/>
    <xf numFmtId="164" fontId="3" fillId="0" borderId="0" xfId="0" quotePrefix="1" applyFont="1" applyFill="1" applyBorder="1"/>
    <xf numFmtId="164" fontId="0" fillId="0" borderId="7" xfId="0" applyBorder="1"/>
    <xf numFmtId="164" fontId="0" fillId="0" borderId="0" xfId="0" applyFont="1" applyFill="1"/>
    <xf numFmtId="10" fontId="0" fillId="0" borderId="0" xfId="8" applyNumberFormat="1" applyFont="1"/>
    <xf numFmtId="49" fontId="0" fillId="0" borderId="0" xfId="0" applyNumberFormat="1"/>
    <xf numFmtId="164" fontId="5" fillId="5" borderId="0" xfId="0" applyFont="1" applyFill="1"/>
    <xf numFmtId="43" fontId="0" fillId="5" borderId="0" xfId="7" applyFont="1" applyFill="1"/>
    <xf numFmtId="43" fontId="5" fillId="5" borderId="2" xfId="7" applyFont="1" applyFill="1" applyBorder="1"/>
    <xf numFmtId="39" fontId="10" fillId="0" borderId="0" xfId="12" applyNumberFormat="1" applyFont="1" applyFill="1" applyAlignment="1"/>
    <xf numFmtId="39" fontId="10" fillId="0" borderId="0" xfId="12" applyNumberFormat="1" applyFont="1" applyFill="1" applyAlignment="1" applyProtection="1"/>
    <xf numFmtId="164" fontId="3" fillId="0" borderId="0" xfId="0" quotePrefix="1" applyFont="1" applyAlignment="1">
      <alignment horizontal="left"/>
    </xf>
    <xf numFmtId="164" fontId="5" fillId="0" borderId="0" xfId="0" applyFont="1" applyAlignment="1">
      <alignment horizontal="center"/>
    </xf>
    <xf numFmtId="6" fontId="7" fillId="0" borderId="0" xfId="0" applyNumberFormat="1" applyFont="1" applyBorder="1"/>
    <xf numFmtId="6" fontId="7" fillId="0" borderId="2" xfId="0" applyNumberFormat="1" applyFont="1" applyBorder="1"/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3" fontId="8" fillId="0" borderId="0" xfId="12" applyNumberFormat="1" applyFont="1" applyFill="1" applyAlignment="1">
      <alignment horizontal="center"/>
    </xf>
    <xf numFmtId="164" fontId="7" fillId="0" borderId="0" xfId="0" applyNumberFormat="1" applyFont="1" applyAlignment="1"/>
    <xf numFmtId="164" fontId="3" fillId="0" borderId="0" xfId="0" quotePrefix="1" applyFont="1" applyAlignment="1">
      <alignment horizontal="left" indent="1"/>
    </xf>
    <xf numFmtId="7" fontId="0" fillId="0" borderId="0" xfId="16" applyNumberFormat="1" applyFont="1"/>
    <xf numFmtId="164" fontId="3" fillId="0" borderId="0" xfId="0" applyFont="1" applyAlignment="1">
      <alignment horizontal="center"/>
    </xf>
    <xf numFmtId="7" fontId="2" fillId="0" borderId="2" xfId="16" applyNumberFormat="1" applyFont="1" applyBorder="1"/>
    <xf numFmtId="37" fontId="10" fillId="0" borderId="0" xfId="12" applyNumberFormat="1" applyFont="1" applyFill="1" applyBorder="1" applyAlignment="1">
      <alignment horizontal="right"/>
    </xf>
    <xf numFmtId="37" fontId="10" fillId="0" borderId="2" xfId="12" applyNumberFormat="1" applyFont="1" applyFill="1" applyBorder="1" applyAlignment="1">
      <alignment horizontal="right"/>
    </xf>
    <xf numFmtId="3" fontId="10" fillId="0" borderId="5" xfId="12" quotePrefix="1" applyNumberFormat="1" applyFont="1" applyFill="1" applyBorder="1" applyAlignment="1" applyProtection="1">
      <alignment horizontal="right"/>
    </xf>
    <xf numFmtId="167" fontId="6" fillId="0" borderId="0" xfId="13" applyNumberFormat="1" applyFont="1" applyFill="1" applyBorder="1" applyAlignment="1" applyProtection="1"/>
    <xf numFmtId="167" fontId="6" fillId="0" borderId="0" xfId="13" applyNumberFormat="1" applyFont="1" applyFill="1" applyAlignment="1" applyProtection="1"/>
    <xf numFmtId="166" fontId="6" fillId="0" borderId="0" xfId="13" applyNumberFormat="1" applyFont="1" applyFill="1" applyAlignment="1" applyProtection="1"/>
    <xf numFmtId="0" fontId="8" fillId="0" borderId="0" xfId="9" quotePrefix="1" applyFont="1" applyFill="1" applyBorder="1" applyAlignment="1" applyProtection="1">
      <alignment horizontal="left"/>
    </xf>
    <xf numFmtId="0" fontId="6" fillId="0" borderId="0" xfId="9" applyFont="1" applyFill="1" applyBorder="1" applyAlignment="1" applyProtection="1"/>
    <xf numFmtId="3" fontId="6" fillId="0" borderId="0" xfId="9" applyNumberFormat="1" applyFont="1" applyFill="1" applyBorder="1" applyAlignment="1" applyProtection="1">
      <alignment horizontal="center"/>
    </xf>
    <xf numFmtId="0" fontId="8" fillId="0" borderId="0" xfId="9" applyFont="1" applyFill="1" applyAlignment="1" applyProtection="1">
      <alignment horizontal="center"/>
    </xf>
    <xf numFmtId="0" fontId="6" fillId="0" borderId="0" xfId="9" applyFont="1" applyFill="1" applyAlignment="1"/>
    <xf numFmtId="0" fontId="8" fillId="0" borderId="0" xfId="9" applyFont="1" applyFill="1" applyBorder="1" applyAlignment="1" applyProtection="1">
      <alignment horizontal="center"/>
    </xf>
    <xf numFmtId="0" fontId="6" fillId="0" borderId="0" xfId="9" applyFont="1" applyFill="1"/>
    <xf numFmtId="0" fontId="8" fillId="0" borderId="1" xfId="9" applyFont="1" applyFill="1" applyBorder="1" applyAlignment="1"/>
    <xf numFmtId="0" fontId="8" fillId="0" borderId="1" xfId="9" applyFont="1" applyFill="1" applyBorder="1" applyAlignment="1" applyProtection="1"/>
    <xf numFmtId="3" fontId="8" fillId="0" borderId="1" xfId="9" applyNumberFormat="1" applyFont="1" applyFill="1" applyBorder="1" applyAlignment="1" applyProtection="1">
      <alignment horizontal="center"/>
    </xf>
    <xf numFmtId="0" fontId="8" fillId="0" borderId="1" xfId="9" applyFont="1" applyFill="1" applyBorder="1" applyAlignment="1" applyProtection="1">
      <alignment horizontal="center"/>
    </xf>
    <xf numFmtId="0" fontId="8" fillId="0" borderId="1" xfId="9" quotePrefix="1" applyFont="1" applyFill="1" applyBorder="1" applyAlignment="1" applyProtection="1">
      <alignment horizontal="center"/>
    </xf>
    <xf numFmtId="0" fontId="6" fillId="0" borderId="0" xfId="9" quotePrefix="1" applyFont="1" applyFill="1" applyBorder="1" applyAlignment="1" applyProtection="1">
      <alignment horizontal="left"/>
    </xf>
    <xf numFmtId="0" fontId="6" fillId="0" borderId="0" xfId="9" quotePrefix="1" applyFont="1" applyFill="1" applyBorder="1" applyAlignment="1" applyProtection="1">
      <alignment horizontal="center"/>
    </xf>
    <xf numFmtId="37" fontId="6" fillId="0" borderId="0" xfId="9" applyNumberFormat="1" applyFont="1" applyFill="1" applyAlignment="1"/>
    <xf numFmtId="169" fontId="6" fillId="0" borderId="0" xfId="9" applyNumberFormat="1" applyFont="1" applyFill="1" applyAlignment="1"/>
    <xf numFmtId="37" fontId="6" fillId="0" borderId="0" xfId="9" applyNumberFormat="1" applyFont="1" applyFill="1" applyAlignment="1" applyProtection="1"/>
    <xf numFmtId="4" fontId="6" fillId="0" borderId="0" xfId="9" applyNumberFormat="1" applyFont="1" applyFill="1" applyBorder="1" applyAlignment="1" applyProtection="1"/>
    <xf numFmtId="169" fontId="6" fillId="0" borderId="0" xfId="9" applyNumberFormat="1" applyFont="1" applyFill="1" applyAlignment="1" applyProtection="1"/>
    <xf numFmtId="169" fontId="6" fillId="0" borderId="0" xfId="9" applyNumberFormat="1" applyFont="1" applyFill="1" applyBorder="1" applyAlignment="1"/>
    <xf numFmtId="170" fontId="6" fillId="0" borderId="0" xfId="9" applyNumberFormat="1" applyFont="1" applyFill="1" applyBorder="1" applyAlignment="1" applyProtection="1"/>
    <xf numFmtId="37" fontId="6" fillId="0" borderId="4" xfId="9" applyNumberFormat="1" applyFont="1" applyFill="1" applyBorder="1" applyAlignment="1"/>
    <xf numFmtId="169" fontId="6" fillId="0" borderId="4" xfId="9" applyNumberFormat="1" applyFont="1" applyFill="1" applyBorder="1" applyAlignment="1"/>
    <xf numFmtId="37" fontId="6" fillId="0" borderId="4" xfId="9" applyNumberFormat="1" applyFont="1" applyFill="1" applyBorder="1" applyAlignment="1" applyProtection="1"/>
    <xf numFmtId="3" fontId="6" fillId="0" borderId="0" xfId="9" quotePrefix="1" applyNumberFormat="1" applyFont="1" applyFill="1" applyBorder="1" applyAlignment="1" applyProtection="1">
      <alignment horizontal="center"/>
    </xf>
    <xf numFmtId="37" fontId="6" fillId="0" borderId="3" xfId="9" applyNumberFormat="1" applyFont="1" applyFill="1" applyBorder="1" applyAlignment="1"/>
    <xf numFmtId="169" fontId="6" fillId="0" borderId="3" xfId="9" applyNumberFormat="1" applyFont="1" applyFill="1" applyBorder="1" applyAlignment="1"/>
    <xf numFmtId="171" fontId="6" fillId="0" borderId="0" xfId="9" applyNumberFormat="1" applyFont="1" applyFill="1" applyBorder="1" applyAlignment="1" applyProtection="1"/>
    <xf numFmtId="172" fontId="6" fillId="0" borderId="3" xfId="9" applyNumberFormat="1" applyFont="1" applyFill="1" applyBorder="1" applyAlignment="1"/>
    <xf numFmtId="172" fontId="6" fillId="0" borderId="0" xfId="9" applyNumberFormat="1" applyFont="1" applyFill="1" applyAlignment="1"/>
    <xf numFmtId="172" fontId="6" fillId="0" borderId="0" xfId="9" applyNumberFormat="1" applyFont="1" applyFill="1" applyBorder="1" applyAlignment="1"/>
    <xf numFmtId="0" fontId="8" fillId="0" borderId="1" xfId="9" applyFont="1" applyFill="1" applyBorder="1" applyAlignment="1">
      <alignment horizontal="left"/>
    </xf>
    <xf numFmtId="0" fontId="6" fillId="0" borderId="1" xfId="9" applyFont="1" applyFill="1" applyBorder="1" applyAlignment="1" applyProtection="1"/>
    <xf numFmtId="3" fontId="6" fillId="0" borderId="1" xfId="9" applyNumberFormat="1" applyFont="1" applyFill="1" applyBorder="1" applyAlignment="1" applyProtection="1">
      <alignment horizontal="center"/>
    </xf>
    <xf numFmtId="0" fontId="8" fillId="0" borderId="0" xfId="9" quotePrefix="1" applyFont="1" applyFill="1" applyBorder="1" applyAlignment="1" applyProtection="1">
      <alignment horizontal="center"/>
    </xf>
    <xf numFmtId="0" fontId="6" fillId="0" borderId="0" xfId="9" applyFont="1" applyFill="1" applyBorder="1" applyAlignment="1">
      <alignment horizontal="left"/>
    </xf>
    <xf numFmtId="0" fontId="6" fillId="0" borderId="0" xfId="9" applyFont="1" applyFill="1" applyAlignment="1" applyProtection="1"/>
    <xf numFmtId="37" fontId="6" fillId="0" borderId="2" xfId="9" applyNumberFormat="1" applyFont="1" applyFill="1" applyBorder="1" applyAlignment="1" applyProtection="1"/>
    <xf numFmtId="0" fontId="6" fillId="0" borderId="4" xfId="9" applyFont="1" applyFill="1" applyBorder="1" applyAlignment="1" applyProtection="1">
      <alignment horizontal="center"/>
    </xf>
    <xf numFmtId="39" fontId="6" fillId="0" borderId="0" xfId="9" applyNumberFormat="1" applyFont="1" applyFill="1" applyAlignment="1"/>
    <xf numFmtId="0" fontId="6" fillId="0" borderId="0" xfId="9" applyFont="1" applyFill="1" applyBorder="1" applyAlignment="1" applyProtection="1">
      <alignment horizontal="left"/>
    </xf>
    <xf numFmtId="167" fontId="6" fillId="0" borderId="0" xfId="9" applyNumberFormat="1" applyFont="1" applyFill="1" applyBorder="1" applyAlignment="1" applyProtection="1"/>
    <xf numFmtId="3" fontId="6" fillId="0" borderId="0" xfId="9" applyNumberFormat="1" applyFont="1" applyFill="1" applyAlignment="1">
      <alignment horizontal="center"/>
    </xf>
    <xf numFmtId="37" fontId="6" fillId="0" borderId="2" xfId="9" applyNumberFormat="1" applyFont="1" applyFill="1" applyBorder="1" applyAlignment="1"/>
    <xf numFmtId="0" fontId="6" fillId="0" borderId="2" xfId="9" applyFont="1" applyFill="1" applyBorder="1" applyAlignment="1"/>
    <xf numFmtId="0" fontId="6" fillId="0" borderId="0" xfId="9" applyFont="1" applyFill="1" applyBorder="1" applyAlignment="1"/>
    <xf numFmtId="2" fontId="6" fillId="0" borderId="2" xfId="9" applyNumberFormat="1" applyFont="1" applyFill="1" applyBorder="1" applyAlignment="1"/>
    <xf numFmtId="5" fontId="6" fillId="0" borderId="0" xfId="9" applyNumberFormat="1" applyFont="1" applyFill="1" applyAlignment="1" applyProtection="1"/>
    <xf numFmtId="37" fontId="6" fillId="0" borderId="1" xfId="9" applyNumberFormat="1" applyFont="1" applyFill="1" applyBorder="1" applyAlignment="1" applyProtection="1"/>
    <xf numFmtId="0" fontId="8" fillId="0" borderId="0" xfId="9" applyFont="1" applyFill="1" applyBorder="1" applyAlignment="1" applyProtection="1"/>
    <xf numFmtId="5" fontId="6" fillId="0" borderId="6" xfId="9" applyNumberFormat="1" applyFont="1" applyFill="1" applyBorder="1" applyAlignment="1" applyProtection="1"/>
    <xf numFmtId="5" fontId="6" fillId="0" borderId="0" xfId="9" applyNumberFormat="1" applyFont="1" applyFill="1" applyBorder="1" applyAlignment="1" applyProtection="1"/>
    <xf numFmtId="0" fontId="6" fillId="0" borderId="0" xfId="9" applyFont="1" applyFill="1" applyAlignment="1" applyProtection="1">
      <alignment horizontal="right"/>
    </xf>
    <xf numFmtId="37" fontId="6" fillId="0" borderId="0" xfId="9" applyNumberFormat="1" applyFont="1" applyFill="1" applyAlignment="1" applyProtection="1">
      <alignment horizontal="right"/>
    </xf>
    <xf numFmtId="37" fontId="6" fillId="0" borderId="0" xfId="9" applyNumberFormat="1" applyFont="1" applyFill="1" applyBorder="1" applyAlignment="1" applyProtection="1"/>
    <xf numFmtId="0" fontId="6" fillId="0" borderId="8" xfId="9" applyFont="1" applyFill="1" applyBorder="1" applyAlignment="1" applyProtection="1"/>
    <xf numFmtId="0" fontId="6" fillId="0" borderId="0" xfId="9" applyFont="1" applyFill="1" applyBorder="1"/>
    <xf numFmtId="172" fontId="6" fillId="0" borderId="2" xfId="9" applyNumberFormat="1" applyFont="1" applyFill="1" applyBorder="1" applyAlignment="1"/>
    <xf numFmtId="37" fontId="8" fillId="0" borderId="0" xfId="9" applyNumberFormat="1" applyFont="1" applyFill="1" applyAlignment="1">
      <alignment horizontal="center"/>
    </xf>
    <xf numFmtId="3" fontId="6" fillId="0" borderId="0" xfId="9" applyNumberFormat="1" applyFont="1" applyFill="1" applyAlignment="1" applyProtection="1">
      <alignment horizontal="center"/>
    </xf>
    <xf numFmtId="37" fontId="6" fillId="0" borderId="0" xfId="9" applyNumberFormat="1" applyFont="1" applyFill="1" applyAlignment="1">
      <alignment horizontal="center"/>
    </xf>
    <xf numFmtId="37" fontId="6" fillId="0" borderId="0" xfId="9" applyNumberFormat="1" applyFont="1" applyFill="1" applyBorder="1" applyAlignment="1"/>
    <xf numFmtId="0" fontId="8" fillId="0" borderId="0" xfId="9" quotePrefix="1" applyFont="1" applyFill="1" applyAlignment="1" applyProtection="1">
      <alignment horizontal="left"/>
    </xf>
    <xf numFmtId="0" fontId="8" fillId="0" borderId="0" xfId="9" applyFont="1" applyFill="1" applyAlignment="1" applyProtection="1"/>
    <xf numFmtId="3" fontId="8" fillId="0" borderId="0" xfId="9" applyNumberFormat="1" applyFont="1" applyFill="1" applyAlignment="1" applyProtection="1">
      <alignment horizontal="center"/>
    </xf>
    <xf numFmtId="0" fontId="8" fillId="0" borderId="0" xfId="9" applyFont="1" applyFill="1" applyAlignment="1" applyProtection="1">
      <alignment horizontal="left"/>
    </xf>
    <xf numFmtId="5" fontId="6" fillId="0" borderId="0" xfId="9" applyNumberFormat="1" applyFont="1" applyFill="1" applyBorder="1" applyAlignment="1"/>
    <xf numFmtId="39" fontId="6" fillId="0" borderId="0" xfId="9" applyNumberFormat="1" applyFont="1" applyFill="1" applyAlignment="1" applyProtection="1"/>
    <xf numFmtId="0" fontId="8" fillId="0" borderId="0" xfId="9" applyFont="1" applyFill="1" applyBorder="1" applyAlignment="1">
      <alignment horizontal="left"/>
    </xf>
    <xf numFmtId="7" fontId="6" fillId="0" borderId="0" xfId="9" applyNumberFormat="1" applyFont="1" applyFill="1" applyBorder="1" applyAlignment="1" applyProtection="1"/>
    <xf numFmtId="37" fontId="6" fillId="0" borderId="1" xfId="9" applyNumberFormat="1" applyFont="1" applyFill="1" applyBorder="1" applyAlignment="1"/>
    <xf numFmtId="7" fontId="6" fillId="0" borderId="0" xfId="9" applyNumberFormat="1" applyFont="1" applyFill="1" applyAlignment="1" applyProtection="1"/>
    <xf numFmtId="0" fontId="8" fillId="0" borderId="0" xfId="9" applyFont="1" applyFill="1" applyBorder="1" applyAlignment="1" applyProtection="1">
      <alignment horizontal="left"/>
    </xf>
    <xf numFmtId="0" fontId="6" fillId="0" borderId="0" xfId="9" applyFont="1" applyFill="1" applyAlignment="1">
      <alignment horizontal="center"/>
    </xf>
    <xf numFmtId="0" fontId="6" fillId="0" borderId="0" xfId="9" applyFont="1" applyFill="1" applyBorder="1" applyAlignment="1">
      <alignment horizontal="center"/>
    </xf>
    <xf numFmtId="39" fontId="6" fillId="0" borderId="2" xfId="9" applyNumberFormat="1" applyFont="1" applyFill="1" applyBorder="1" applyAlignment="1"/>
    <xf numFmtId="42" fontId="6" fillId="0" borderId="0" xfId="9" applyNumberFormat="1" applyFont="1" applyFill="1"/>
    <xf numFmtId="168" fontId="6" fillId="0" borderId="0" xfId="9" applyNumberFormat="1" applyFont="1" applyFill="1"/>
    <xf numFmtId="179" fontId="6" fillId="0" borderId="0" xfId="9" applyNumberFormat="1" applyFont="1" applyFill="1" applyBorder="1" applyAlignment="1" applyProtection="1"/>
    <xf numFmtId="0" fontId="6" fillId="0" borderId="9" xfId="9" applyFont="1" applyFill="1" applyBorder="1" applyAlignment="1"/>
    <xf numFmtId="0" fontId="6" fillId="0" borderId="10" xfId="9" applyFont="1" applyFill="1" applyBorder="1" applyAlignment="1"/>
    <xf numFmtId="3" fontId="6" fillId="0" borderId="10" xfId="9" applyNumberFormat="1" applyFont="1" applyFill="1" applyBorder="1" applyAlignment="1">
      <alignment horizontal="center"/>
    </xf>
    <xf numFmtId="0" fontId="8" fillId="0" borderId="10" xfId="9" applyFont="1" applyFill="1" applyBorder="1" applyAlignment="1" applyProtection="1">
      <alignment horizontal="center"/>
    </xf>
    <xf numFmtId="0" fontId="8" fillId="0" borderId="11" xfId="9" applyFont="1" applyFill="1" applyBorder="1" applyAlignment="1" applyProtection="1">
      <alignment horizontal="center"/>
    </xf>
    <xf numFmtId="0" fontId="8" fillId="0" borderId="12" xfId="9" quotePrefix="1" applyFont="1" applyFill="1" applyBorder="1" applyAlignment="1" applyProtection="1">
      <alignment horizontal="left"/>
    </xf>
    <xf numFmtId="0" fontId="8" fillId="0" borderId="13" xfId="9" applyFont="1" applyFill="1" applyBorder="1" applyAlignment="1" applyProtection="1">
      <alignment horizontal="center"/>
    </xf>
    <xf numFmtId="0" fontId="6" fillId="0" borderId="12" xfId="9" applyFont="1" applyFill="1" applyBorder="1" applyAlignment="1"/>
    <xf numFmtId="3" fontId="6" fillId="0" borderId="0" xfId="9" applyNumberFormat="1" applyFont="1" applyFill="1" applyBorder="1" applyAlignment="1">
      <alignment horizontal="center"/>
    </xf>
    <xf numFmtId="0" fontId="6" fillId="0" borderId="1" xfId="9" applyFont="1" applyFill="1" applyBorder="1" applyAlignment="1"/>
    <xf numFmtId="0" fontId="8" fillId="0" borderId="14" xfId="9" quotePrefix="1" applyFont="1" applyFill="1" applyBorder="1" applyAlignment="1" applyProtection="1">
      <alignment horizontal="center"/>
    </xf>
    <xf numFmtId="37" fontId="6" fillId="0" borderId="13" xfId="9" applyNumberFormat="1" applyFont="1" applyFill="1" applyBorder="1" applyAlignment="1"/>
    <xf numFmtId="5" fontId="6" fillId="0" borderId="2" xfId="9" applyNumberFormat="1" applyFont="1" applyFill="1" applyBorder="1" applyAlignment="1"/>
    <xf numFmtId="5" fontId="6" fillId="0" borderId="15" xfId="9" applyNumberFormat="1" applyFont="1" applyFill="1" applyBorder="1" applyAlignment="1"/>
    <xf numFmtId="0" fontId="6" fillId="0" borderId="13" xfId="9" applyFont="1" applyFill="1" applyBorder="1" applyAlignment="1"/>
    <xf numFmtId="5" fontId="6" fillId="0" borderId="13" xfId="9" applyNumberFormat="1" applyFont="1" applyFill="1" applyBorder="1" applyAlignment="1"/>
    <xf numFmtId="0" fontId="6" fillId="0" borderId="14" xfId="9" applyFont="1" applyFill="1" applyBorder="1" applyAlignment="1"/>
    <xf numFmtId="0" fontId="6" fillId="0" borderId="0" xfId="9" quotePrefix="1" applyFont="1" applyFill="1" applyBorder="1" applyAlignment="1">
      <alignment horizontal="left"/>
    </xf>
    <xf numFmtId="0" fontId="6" fillId="0" borderId="6" xfId="9" applyFont="1" applyFill="1" applyBorder="1" applyAlignment="1"/>
    <xf numFmtId="0" fontId="6" fillId="0" borderId="16" xfId="9" applyFont="1" applyFill="1" applyBorder="1" applyAlignment="1"/>
    <xf numFmtId="37" fontId="6" fillId="0" borderId="15" xfId="9" applyNumberFormat="1" applyFont="1" applyFill="1" applyBorder="1" applyAlignment="1"/>
    <xf numFmtId="0" fontId="6" fillId="0" borderId="8" xfId="9" applyFont="1" applyFill="1" applyBorder="1" applyAlignment="1"/>
    <xf numFmtId="5" fontId="6" fillId="0" borderId="14" xfId="9" applyNumberFormat="1" applyFont="1" applyFill="1" applyBorder="1" applyAlignment="1"/>
    <xf numFmtId="5" fontId="6" fillId="0" borderId="0" xfId="9" applyNumberFormat="1" applyFont="1" applyFill="1" applyAlignment="1"/>
    <xf numFmtId="49" fontId="0" fillId="6" borderId="0" xfId="0" applyNumberFormat="1" applyFill="1"/>
    <xf numFmtId="164" fontId="0" fillId="6" borderId="7" xfId="0" applyFill="1" applyBorder="1"/>
    <xf numFmtId="49" fontId="3" fillId="6" borderId="0" xfId="0" applyNumberFormat="1" applyFont="1" applyFill="1"/>
    <xf numFmtId="180" fontId="0" fillId="0" borderId="0" xfId="7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9" applyFont="1" applyFill="1" applyAlignment="1">
      <alignment horizontal="center"/>
    </xf>
    <xf numFmtId="3" fontId="8" fillId="0" borderId="0" xfId="9" applyNumberFormat="1" applyFont="1" applyFill="1" applyAlignment="1">
      <alignment horizontal="center"/>
    </xf>
    <xf numFmtId="0" fontId="8" fillId="0" borderId="0" xfId="9" applyFont="1" applyFill="1" applyBorder="1" applyAlignment="1">
      <alignment horizontal="center"/>
    </xf>
    <xf numFmtId="181" fontId="0" fillId="0" borderId="0" xfId="0" applyNumberFormat="1"/>
    <xf numFmtId="181" fontId="2" fillId="0" borderId="2" xfId="0" applyNumberFormat="1" applyFont="1" applyBorder="1"/>
    <xf numFmtId="164" fontId="15" fillId="0" borderId="0" xfId="0" applyFont="1" applyAlignment="1">
      <alignment horizontal="center"/>
    </xf>
    <xf numFmtId="164" fontId="3" fillId="0" borderId="0" xfId="0" applyFont="1" applyAlignment="1">
      <alignment horizontal="left" vertical="top" wrapText="1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5" fontId="8" fillId="0" borderId="0" xfId="9" applyNumberFormat="1" applyFont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0" xfId="9" quotePrefix="1" applyFont="1" applyFill="1" applyAlignment="1" applyProtection="1">
      <alignment horizontal="center"/>
    </xf>
    <xf numFmtId="0" fontId="9" fillId="0" borderId="0" xfId="12" applyFont="1" applyFill="1" applyAlignment="1">
      <alignment horizontal="center"/>
    </xf>
    <xf numFmtId="3" fontId="8" fillId="0" borderId="0" xfId="12" applyNumberFormat="1" applyFont="1" applyFill="1" applyAlignment="1">
      <alignment horizontal="center"/>
    </xf>
    <xf numFmtId="0" fontId="8" fillId="0" borderId="0" xfId="14" quotePrefix="1" applyFont="1" applyFill="1" applyAlignment="1" applyProtection="1">
      <alignment horizontal="center"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>
      <alignment horizontal="center" vertical="center"/>
    </xf>
    <xf numFmtId="0" fontId="8" fillId="0" borderId="0" xfId="14" applyFont="1" applyFill="1" applyAlignment="1">
      <alignment horizontal="center" vertical="center"/>
    </xf>
    <xf numFmtId="14" fontId="8" fillId="0" borderId="1" xfId="14" quotePrefix="1" applyNumberFormat="1" applyFont="1" applyFill="1" applyBorder="1" applyAlignment="1" applyProtection="1">
      <alignment horizontal="left" vertical="top" indent="4"/>
    </xf>
    <xf numFmtId="0" fontId="8" fillId="0" borderId="1" xfId="14" quotePrefix="1" applyFont="1" applyFill="1" applyBorder="1" applyAlignment="1" applyProtection="1">
      <alignment horizontal="center"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0" xfId="14" quotePrefix="1" applyFont="1" applyFill="1" applyAlignment="1" applyProtection="1">
      <alignment horizontal="center"/>
    </xf>
    <xf numFmtId="0" fontId="8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</cellXfs>
  <cellStyles count="125">
    <cellStyle name="Comma" xfId="7" builtinId="3"/>
    <cellStyle name="Comma 10" xfId="17"/>
    <cellStyle name="Comma 2" xfId="11"/>
    <cellStyle name="Comma 2 2" xfId="18"/>
    <cellStyle name="Comma 3" xfId="19"/>
    <cellStyle name="Comma 3 2" xfId="20"/>
    <cellStyle name="Comma 4" xfId="21"/>
    <cellStyle name="Comma 5" xfId="22"/>
    <cellStyle name="Comma 6" xfId="23"/>
    <cellStyle name="Comma 7" xfId="24"/>
    <cellStyle name="Comma 8" xfId="25"/>
    <cellStyle name="Currency" xfId="16" builtinId="4"/>
    <cellStyle name="Currency 2" xfId="10"/>
    <cellStyle name="Currency 3" xfId="26"/>
    <cellStyle name="Normal" xfId="0" builtinId="0"/>
    <cellStyle name="Normal 10" xfId="27"/>
    <cellStyle name="Normal 11" xfId="28"/>
    <cellStyle name="Normal 12" xfId="29"/>
    <cellStyle name="Normal 13" xfId="30"/>
    <cellStyle name="Normal 14" xfId="31"/>
    <cellStyle name="Normal 15" xfId="32"/>
    <cellStyle name="Normal 16" xfId="33"/>
    <cellStyle name="Normal 17" xfId="34"/>
    <cellStyle name="Normal 19" xfId="35"/>
    <cellStyle name="Normal 19 2" xfId="36"/>
    <cellStyle name="Normal 2" xfId="15"/>
    <cellStyle name="Normal 2 2" xfId="37"/>
    <cellStyle name="Normal 3" xfId="9"/>
    <cellStyle name="Normal 3 2" xfId="38"/>
    <cellStyle name="Normal 4" xfId="39"/>
    <cellStyle name="Normal 4 2" xfId="12"/>
    <cellStyle name="Normal 5" xfId="40"/>
    <cellStyle name="Normal 6" xfId="41"/>
    <cellStyle name="Normal 6 2" xfId="42"/>
    <cellStyle name="Normal 7" xfId="43"/>
    <cellStyle name="Normal 8" xfId="44"/>
    <cellStyle name="Normal 9" xfId="45"/>
    <cellStyle name="Normal_Pass-Through Model 11_2007 - 10_2008" xfId="14"/>
    <cellStyle name="Percent" xfId="8" builtinId="5"/>
    <cellStyle name="Percent 2" xfId="13"/>
    <cellStyle name="Percent 3" xfId="46"/>
    <cellStyle name="Percent 3 2" xfId="47"/>
    <cellStyle name="Percent 4" xfId="48"/>
    <cellStyle name="Percent 5" xfId="49"/>
    <cellStyle name="Percent 6" xfId="50"/>
    <cellStyle name="PSChar" xfId="1"/>
    <cellStyle name="PSChar 10" xfId="51"/>
    <cellStyle name="PSChar 2" xfId="52"/>
    <cellStyle name="PSChar 3" xfId="53"/>
    <cellStyle name="PSChar 4" xfId="54"/>
    <cellStyle name="PSChar 5" xfId="55"/>
    <cellStyle name="PSChar 6" xfId="56"/>
    <cellStyle name="PSChar 7" xfId="57"/>
    <cellStyle name="PSChar 7 2" xfId="58"/>
    <cellStyle name="PSChar 8" xfId="59"/>
    <cellStyle name="PSChar 8 2" xfId="60"/>
    <cellStyle name="PSChar 9" xfId="61"/>
    <cellStyle name="PSChar 9 2" xfId="62"/>
    <cellStyle name="PSDate" xfId="2"/>
    <cellStyle name="PSDate 10" xfId="63"/>
    <cellStyle name="PSDate 2" xfId="64"/>
    <cellStyle name="PSDate 3" xfId="65"/>
    <cellStyle name="PSDate 4" xfId="66"/>
    <cellStyle name="PSDate 5" xfId="67"/>
    <cellStyle name="PSDate 6" xfId="68"/>
    <cellStyle name="PSDate 7" xfId="69"/>
    <cellStyle name="PSDate 7 2" xfId="70"/>
    <cellStyle name="PSDate 8" xfId="71"/>
    <cellStyle name="PSDate 8 2" xfId="72"/>
    <cellStyle name="PSDate 9" xfId="73"/>
    <cellStyle name="PSDate 9 2" xfId="74"/>
    <cellStyle name="PSDec" xfId="3"/>
    <cellStyle name="PSDec 10" xfId="75"/>
    <cellStyle name="PSDec 2" xfId="76"/>
    <cellStyle name="PSDec 3" xfId="77"/>
    <cellStyle name="PSDec 4" xfId="78"/>
    <cellStyle name="PSDec 5" xfId="79"/>
    <cellStyle name="PSDec 6" xfId="80"/>
    <cellStyle name="PSDec 7" xfId="81"/>
    <cellStyle name="PSDec 7 2" xfId="82"/>
    <cellStyle name="PSDec 8" xfId="83"/>
    <cellStyle name="PSDec 8 2" xfId="84"/>
    <cellStyle name="PSDec 9" xfId="85"/>
    <cellStyle name="PSDec 9 2" xfId="86"/>
    <cellStyle name="PSHeading" xfId="4"/>
    <cellStyle name="PSHeading 10" xfId="87"/>
    <cellStyle name="PSHeading 2" xfId="88"/>
    <cellStyle name="PSHeading 2 2" xfId="89"/>
    <cellStyle name="PSHeading 3" xfId="90"/>
    <cellStyle name="PSHeading 3 2" xfId="91"/>
    <cellStyle name="PSHeading 4" xfId="92"/>
    <cellStyle name="PSHeading 4 2" xfId="93"/>
    <cellStyle name="PSHeading 5" xfId="94"/>
    <cellStyle name="PSHeading 5 2" xfId="95"/>
    <cellStyle name="PSHeading 6" xfId="96"/>
    <cellStyle name="PSHeading 6 2" xfId="97"/>
    <cellStyle name="PSHeading 7" xfId="98"/>
    <cellStyle name="PSHeading 7 2" xfId="99"/>
    <cellStyle name="PSHeading 8" xfId="100"/>
    <cellStyle name="PSHeading 8 2" xfId="101"/>
    <cellStyle name="PSHeading 9" xfId="102"/>
    <cellStyle name="PSInt" xfId="5"/>
    <cellStyle name="PSInt 2" xfId="103"/>
    <cellStyle name="PSInt 3" xfId="104"/>
    <cellStyle name="PSInt 4" xfId="105"/>
    <cellStyle name="PSInt 5" xfId="106"/>
    <cellStyle name="PSInt 6" xfId="107"/>
    <cellStyle name="PSInt 6 2" xfId="108"/>
    <cellStyle name="PSInt 7" xfId="109"/>
    <cellStyle name="PSInt 7 2" xfId="110"/>
    <cellStyle name="PSInt 8" xfId="111"/>
    <cellStyle name="PSInt 8 2" xfId="112"/>
    <cellStyle name="PSInt 9" xfId="113"/>
    <cellStyle name="PSSpacer" xfId="6"/>
    <cellStyle name="PSSpacer 2" xfId="114"/>
    <cellStyle name="PSSpacer 3" xfId="115"/>
    <cellStyle name="PSSpacer 4" xfId="116"/>
    <cellStyle name="PSSpacer 5" xfId="117"/>
    <cellStyle name="PSSpacer 6" xfId="118"/>
    <cellStyle name="PSSpacer 6 2" xfId="119"/>
    <cellStyle name="PSSpacer 7" xfId="120"/>
    <cellStyle name="PSSpacer 7 2" xfId="121"/>
    <cellStyle name="PSSpacer 8" xfId="122"/>
    <cellStyle name="PSSpacer 8 2" xfId="123"/>
    <cellStyle name="PSSpacer 9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504264</xdr:colOff>
      <xdr:row>74</xdr:row>
      <xdr:rowOff>33616</xdr:rowOff>
    </xdr:from>
    <xdr:ext cx="9562618" cy="1892569"/>
    <xdr:sp macro="" textlink="">
      <xdr:nvSpPr>
        <xdr:cNvPr id="2" name="TextBox 1"/>
        <xdr:cNvSpPr txBox="1"/>
      </xdr:nvSpPr>
      <xdr:spPr>
        <a:xfrm>
          <a:off x="9200029" y="9973234"/>
          <a:ext cx="9562618" cy="1892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NOT TRACKING</a:t>
          </a:r>
        </a:p>
      </xdr:txBody>
    </xdr:sp>
    <xdr:clientData/>
  </xdr:oneCellAnchor>
  <xdr:twoCellAnchor>
    <xdr:from>
      <xdr:col>16</xdr:col>
      <xdr:colOff>739588</xdr:colOff>
      <xdr:row>81</xdr:row>
      <xdr:rowOff>0</xdr:rowOff>
    </xdr:from>
    <xdr:to>
      <xdr:col>21</xdr:col>
      <xdr:colOff>1053353</xdr:colOff>
      <xdr:row>81</xdr:row>
      <xdr:rowOff>0</xdr:rowOff>
    </xdr:to>
    <xdr:cxnSp macro="">
      <xdr:nvCxnSpPr>
        <xdr:cNvPr id="4" name="Straight Connector 3"/>
        <xdr:cNvCxnSpPr/>
      </xdr:nvCxnSpPr>
      <xdr:spPr>
        <a:xfrm>
          <a:off x="19050000" y="10724029"/>
          <a:ext cx="5804647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80</xdr:row>
      <xdr:rowOff>134470</xdr:rowOff>
    </xdr:from>
    <xdr:to>
      <xdr:col>7</xdr:col>
      <xdr:colOff>246529</xdr:colOff>
      <xdr:row>81</xdr:row>
      <xdr:rowOff>11206</xdr:rowOff>
    </xdr:to>
    <xdr:cxnSp macro="">
      <xdr:nvCxnSpPr>
        <xdr:cNvPr id="6" name="Straight Connector 5"/>
        <xdr:cNvCxnSpPr/>
      </xdr:nvCxnSpPr>
      <xdr:spPr>
        <a:xfrm>
          <a:off x="2297206" y="11015382"/>
          <a:ext cx="6645088" cy="3361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</xdr:colOff>
      <xdr:row>74</xdr:row>
      <xdr:rowOff>11206</xdr:rowOff>
    </xdr:from>
    <xdr:to>
      <xdr:col>22</xdr:col>
      <xdr:colOff>22411</xdr:colOff>
      <xdr:row>90</xdr:row>
      <xdr:rowOff>123265</xdr:rowOff>
    </xdr:to>
    <xdr:cxnSp macro="">
      <xdr:nvCxnSpPr>
        <xdr:cNvPr id="9" name="Straight Arrow Connector 8"/>
        <xdr:cNvCxnSpPr/>
      </xdr:nvCxnSpPr>
      <xdr:spPr>
        <a:xfrm flipH="1">
          <a:off x="24910676" y="9950824"/>
          <a:ext cx="11206" cy="2151529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0</xdr:colOff>
      <xdr:row>90</xdr:row>
      <xdr:rowOff>123263</xdr:rowOff>
    </xdr:from>
    <xdr:ext cx="3847143" cy="718466"/>
    <xdr:sp macro="" textlink="">
      <xdr:nvSpPr>
        <xdr:cNvPr id="11" name="TextBox 10"/>
        <xdr:cNvSpPr txBox="1"/>
      </xdr:nvSpPr>
      <xdr:spPr>
        <a:xfrm>
          <a:off x="24899471" y="12102351"/>
          <a:ext cx="384714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BEGIN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TRACKING</a:t>
          </a:r>
        </a:p>
      </xdr:txBody>
    </xdr:sp>
    <xdr:clientData/>
  </xdr:oneCellAnchor>
  <xdr:twoCellAnchor>
    <xdr:from>
      <xdr:col>25</xdr:col>
      <xdr:colOff>515471</xdr:colOff>
      <xdr:row>92</xdr:row>
      <xdr:rowOff>134471</xdr:rowOff>
    </xdr:from>
    <xdr:to>
      <xdr:col>27</xdr:col>
      <xdr:colOff>784412</xdr:colOff>
      <xdr:row>92</xdr:row>
      <xdr:rowOff>145677</xdr:rowOff>
    </xdr:to>
    <xdr:cxnSp macro="">
      <xdr:nvCxnSpPr>
        <xdr:cNvPr id="15" name="Straight Arrow Connector 14"/>
        <xdr:cNvCxnSpPr/>
      </xdr:nvCxnSpPr>
      <xdr:spPr>
        <a:xfrm>
          <a:off x="28709471" y="12584206"/>
          <a:ext cx="2465294" cy="1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479690</xdr:colOff>
      <xdr:row>88</xdr:row>
      <xdr:rowOff>0</xdr:rowOff>
    </xdr:from>
    <xdr:ext cx="1344727" cy="2504340"/>
    <xdr:sp macro="" textlink="">
      <xdr:nvSpPr>
        <xdr:cNvPr id="2" name="TextBox 1"/>
        <xdr:cNvSpPr txBox="1"/>
      </xdr:nvSpPr>
      <xdr:spPr>
        <a:xfrm rot="5400000">
          <a:off x="18310348" y="15057594"/>
          <a:ext cx="2504340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2000"/>
            <a:t>Questar Gas Company</a:t>
          </a:r>
        </a:p>
        <a:p>
          <a:pPr algn="r"/>
          <a:r>
            <a:rPr lang="en-US" sz="2000"/>
            <a:t>Docket</a:t>
          </a:r>
          <a:r>
            <a:rPr lang="en-US" sz="2000" baseline="0"/>
            <a:t> No. 15-057-13</a:t>
          </a:r>
        </a:p>
        <a:p>
          <a:pPr algn="r"/>
          <a:r>
            <a:rPr lang="en-US" sz="2000" baseline="0"/>
            <a:t>Exhibit 1.1</a:t>
          </a:r>
        </a:p>
        <a:p>
          <a:pPr algn="r"/>
          <a:r>
            <a:rPr lang="en-US" sz="2000" baseline="0"/>
            <a:t>Page 1 of 4</a:t>
          </a:r>
          <a:endParaRPr lang="en-US" sz="2000"/>
        </a:p>
      </xdr:txBody>
    </xdr:sp>
    <xdr:clientData/>
  </xdr:oneCellAnchor>
  <xdr:oneCellAnchor>
    <xdr:from>
      <xdr:col>37</xdr:col>
      <xdr:colOff>308694</xdr:colOff>
      <xdr:row>88</xdr:row>
      <xdr:rowOff>0</xdr:rowOff>
    </xdr:from>
    <xdr:ext cx="1344727" cy="2504340"/>
    <xdr:sp macro="" textlink="">
      <xdr:nvSpPr>
        <xdr:cNvPr id="3" name="TextBox 2"/>
        <xdr:cNvSpPr txBox="1"/>
      </xdr:nvSpPr>
      <xdr:spPr>
        <a:xfrm rot="5400000">
          <a:off x="33818863" y="14901109"/>
          <a:ext cx="2504340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2000"/>
            <a:t>Questar Gas Company</a:t>
          </a:r>
        </a:p>
        <a:p>
          <a:pPr algn="r"/>
          <a:r>
            <a:rPr lang="en-US" sz="2000"/>
            <a:t>Docket</a:t>
          </a:r>
          <a:r>
            <a:rPr lang="en-US" sz="2000" baseline="0"/>
            <a:t> No. 15-057-13</a:t>
          </a:r>
        </a:p>
        <a:p>
          <a:pPr algn="r"/>
          <a:r>
            <a:rPr lang="en-US" sz="2000" baseline="0"/>
            <a:t>Exhibit 1.1</a:t>
          </a:r>
        </a:p>
        <a:p>
          <a:pPr algn="r"/>
          <a:r>
            <a:rPr lang="en-US" sz="2000" baseline="0"/>
            <a:t>Page 2  of 4</a:t>
          </a:r>
          <a:endParaRPr lang="en-US" sz="2000"/>
        </a:p>
      </xdr:txBody>
    </xdr:sp>
    <xdr:clientData/>
  </xdr:oneCellAnchor>
  <xdr:oneCellAnchor>
    <xdr:from>
      <xdr:col>57</xdr:col>
      <xdr:colOff>494771</xdr:colOff>
      <xdr:row>88</xdr:row>
      <xdr:rowOff>0</xdr:rowOff>
    </xdr:from>
    <xdr:ext cx="1344727" cy="2504340"/>
    <xdr:sp macro="" textlink="">
      <xdr:nvSpPr>
        <xdr:cNvPr id="4" name="TextBox 3"/>
        <xdr:cNvSpPr txBox="1"/>
      </xdr:nvSpPr>
      <xdr:spPr>
        <a:xfrm rot="5400000">
          <a:off x="52955608" y="15072901"/>
          <a:ext cx="2504340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2000"/>
            <a:t>Questar Gas Company</a:t>
          </a:r>
        </a:p>
        <a:p>
          <a:pPr algn="r"/>
          <a:r>
            <a:rPr lang="en-US" sz="2000"/>
            <a:t>Docket</a:t>
          </a:r>
          <a:r>
            <a:rPr lang="en-US" sz="2000" baseline="0"/>
            <a:t> No. 15-057-13</a:t>
          </a:r>
        </a:p>
        <a:p>
          <a:pPr algn="r"/>
          <a:r>
            <a:rPr lang="en-US" sz="2000" baseline="0"/>
            <a:t>Exhibit 1.1</a:t>
          </a:r>
        </a:p>
        <a:p>
          <a:pPr algn="r"/>
          <a:r>
            <a:rPr lang="en-US" sz="2000" baseline="0"/>
            <a:t>Page 3  of 4</a:t>
          </a:r>
          <a:endParaRPr lang="en-US" sz="2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0.10349999999999999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98"/>
  <sheetViews>
    <sheetView workbookViewId="0"/>
  </sheetViews>
  <sheetFormatPr defaultRowHeight="12.75"/>
  <cols>
    <col min="1" max="1" width="34" bestFit="1" customWidth="1"/>
    <col min="2" max="2" width="17.42578125" bestFit="1" customWidth="1"/>
    <col min="3" max="9" width="15.7109375" bestFit="1" customWidth="1"/>
    <col min="10" max="10" width="15.85546875" bestFit="1" customWidth="1"/>
    <col min="11" max="13" width="15.7109375" bestFit="1" customWidth="1"/>
    <col min="14" max="27" width="16.42578125" bestFit="1" customWidth="1"/>
    <col min="28" max="28" width="13.85546875" style="7" bestFit="1" customWidth="1"/>
    <col min="29" max="37" width="16.28515625" style="7" bestFit="1" customWidth="1"/>
    <col min="38" max="38" width="16" style="7" customWidth="1"/>
    <col min="39" max="39" width="13.7109375" style="7" bestFit="1" customWidth="1"/>
    <col min="40" max="40" width="14.28515625" style="7" customWidth="1"/>
    <col min="41" max="43" width="13.7109375" style="7" bestFit="1" customWidth="1"/>
    <col min="44" max="45" width="13.85546875" style="7" bestFit="1" customWidth="1"/>
    <col min="46" max="46" width="15.28515625" style="7" bestFit="1" customWidth="1"/>
    <col min="47" max="47" width="13.85546875" style="7" bestFit="1" customWidth="1"/>
    <col min="48" max="49" width="14.7109375" style="7" bestFit="1" customWidth="1"/>
    <col min="50" max="50" width="13.85546875" bestFit="1" customWidth="1"/>
  </cols>
  <sheetData>
    <row r="1" spans="1:49">
      <c r="B1" s="35">
        <f t="shared" ref="B1:Y1" si="0">YEAR(B7)</f>
        <v>2013</v>
      </c>
      <c r="C1" s="35">
        <f t="shared" si="0"/>
        <v>2013</v>
      </c>
      <c r="D1" s="35">
        <f t="shared" si="0"/>
        <v>2013</v>
      </c>
      <c r="E1" s="35">
        <f t="shared" si="0"/>
        <v>2013</v>
      </c>
      <c r="F1" s="35">
        <f t="shared" si="0"/>
        <v>2013</v>
      </c>
      <c r="G1" s="35">
        <f t="shared" si="0"/>
        <v>2013</v>
      </c>
      <c r="H1" s="35">
        <f t="shared" si="0"/>
        <v>2013</v>
      </c>
      <c r="I1" s="35">
        <f t="shared" si="0"/>
        <v>2013</v>
      </c>
      <c r="J1" s="35">
        <f t="shared" si="0"/>
        <v>2013</v>
      </c>
      <c r="K1" s="35">
        <f t="shared" si="0"/>
        <v>2013</v>
      </c>
      <c r="L1" s="35">
        <f t="shared" si="0"/>
        <v>2013</v>
      </c>
      <c r="M1" s="35">
        <f t="shared" si="0"/>
        <v>2013</v>
      </c>
      <c r="N1" s="35">
        <f t="shared" si="0"/>
        <v>2014</v>
      </c>
      <c r="O1" s="35">
        <f t="shared" si="0"/>
        <v>2014</v>
      </c>
      <c r="P1" s="35">
        <f t="shared" si="0"/>
        <v>2014</v>
      </c>
      <c r="Q1" s="35">
        <f t="shared" si="0"/>
        <v>2014</v>
      </c>
      <c r="R1" s="35">
        <f t="shared" si="0"/>
        <v>2014</v>
      </c>
      <c r="S1" s="35">
        <f t="shared" si="0"/>
        <v>2014</v>
      </c>
      <c r="T1" s="35">
        <f t="shared" si="0"/>
        <v>2014</v>
      </c>
      <c r="U1" s="35">
        <f t="shared" si="0"/>
        <v>2014</v>
      </c>
      <c r="V1" s="35">
        <f t="shared" si="0"/>
        <v>2014</v>
      </c>
      <c r="W1" s="35">
        <f t="shared" si="0"/>
        <v>2014</v>
      </c>
      <c r="X1" s="35">
        <f t="shared" si="0"/>
        <v>2014</v>
      </c>
      <c r="Y1" s="35">
        <f t="shared" si="0"/>
        <v>2014</v>
      </c>
      <c r="Z1" s="35">
        <f t="shared" ref="Z1:AK1" si="1">YEAR(Z7)</f>
        <v>2015</v>
      </c>
      <c r="AA1" s="35">
        <f t="shared" si="1"/>
        <v>2015</v>
      </c>
      <c r="AB1" s="35">
        <f t="shared" si="1"/>
        <v>2015</v>
      </c>
      <c r="AC1" s="35">
        <f t="shared" si="1"/>
        <v>2015</v>
      </c>
      <c r="AD1" s="35">
        <f t="shared" si="1"/>
        <v>2015</v>
      </c>
      <c r="AE1" s="35">
        <f t="shared" si="1"/>
        <v>2015</v>
      </c>
      <c r="AF1" s="35">
        <f t="shared" si="1"/>
        <v>2015</v>
      </c>
      <c r="AG1" s="35">
        <f t="shared" si="1"/>
        <v>2015</v>
      </c>
      <c r="AH1" s="35">
        <f t="shared" si="1"/>
        <v>2015</v>
      </c>
      <c r="AI1" s="35">
        <f t="shared" si="1"/>
        <v>2015</v>
      </c>
      <c r="AJ1" s="35">
        <f t="shared" si="1"/>
        <v>2015</v>
      </c>
      <c r="AK1" s="35">
        <f t="shared" si="1"/>
        <v>2015</v>
      </c>
      <c r="AL1"/>
      <c r="AM1"/>
      <c r="AN1"/>
      <c r="AO1"/>
      <c r="AP1"/>
      <c r="AQ1"/>
      <c r="AR1"/>
      <c r="AS1"/>
      <c r="AT1"/>
      <c r="AU1"/>
      <c r="AV1"/>
      <c r="AW1"/>
    </row>
    <row r="2" spans="1:49">
      <c r="B2" s="35">
        <f t="shared" ref="B2:Y2" si="2">MONTH(B7)</f>
        <v>1</v>
      </c>
      <c r="C2" s="35">
        <f t="shared" si="2"/>
        <v>2</v>
      </c>
      <c r="D2" s="35">
        <f t="shared" si="2"/>
        <v>3</v>
      </c>
      <c r="E2" s="35">
        <f t="shared" si="2"/>
        <v>4</v>
      </c>
      <c r="F2" s="35">
        <f t="shared" si="2"/>
        <v>5</v>
      </c>
      <c r="G2" s="35">
        <f t="shared" si="2"/>
        <v>6</v>
      </c>
      <c r="H2" s="35">
        <f t="shared" si="2"/>
        <v>7</v>
      </c>
      <c r="I2" s="35">
        <f t="shared" si="2"/>
        <v>8</v>
      </c>
      <c r="J2" s="35">
        <f t="shared" si="2"/>
        <v>9</v>
      </c>
      <c r="K2" s="35">
        <f t="shared" si="2"/>
        <v>10</v>
      </c>
      <c r="L2" s="35">
        <f t="shared" si="2"/>
        <v>11</v>
      </c>
      <c r="M2" s="35">
        <f t="shared" si="2"/>
        <v>12</v>
      </c>
      <c r="N2" s="35">
        <f t="shared" si="2"/>
        <v>1</v>
      </c>
      <c r="O2" s="35">
        <f t="shared" si="2"/>
        <v>2</v>
      </c>
      <c r="P2" s="35">
        <f t="shared" si="2"/>
        <v>3</v>
      </c>
      <c r="Q2" s="35">
        <f t="shared" si="2"/>
        <v>4</v>
      </c>
      <c r="R2" s="35">
        <f t="shared" si="2"/>
        <v>5</v>
      </c>
      <c r="S2" s="35">
        <f t="shared" si="2"/>
        <v>6</v>
      </c>
      <c r="T2" s="35">
        <f t="shared" si="2"/>
        <v>7</v>
      </c>
      <c r="U2" s="35">
        <f t="shared" si="2"/>
        <v>8</v>
      </c>
      <c r="V2" s="35">
        <f t="shared" si="2"/>
        <v>9</v>
      </c>
      <c r="W2" s="35">
        <f t="shared" si="2"/>
        <v>10</v>
      </c>
      <c r="X2" s="35">
        <f t="shared" si="2"/>
        <v>11</v>
      </c>
      <c r="Y2" s="35">
        <f t="shared" si="2"/>
        <v>12</v>
      </c>
      <c r="Z2" s="35">
        <f t="shared" ref="Z2:AK2" si="3">MONTH(Z7)</f>
        <v>1</v>
      </c>
      <c r="AA2" s="35">
        <f t="shared" si="3"/>
        <v>2</v>
      </c>
      <c r="AB2" s="35">
        <f t="shared" si="3"/>
        <v>3</v>
      </c>
      <c r="AC2" s="35">
        <f t="shared" si="3"/>
        <v>4</v>
      </c>
      <c r="AD2" s="35">
        <f t="shared" si="3"/>
        <v>5</v>
      </c>
      <c r="AE2" s="35">
        <f t="shared" si="3"/>
        <v>6</v>
      </c>
      <c r="AF2" s="35">
        <f t="shared" si="3"/>
        <v>7</v>
      </c>
      <c r="AG2" s="35">
        <f t="shared" si="3"/>
        <v>8</v>
      </c>
      <c r="AH2" s="35">
        <f t="shared" si="3"/>
        <v>9</v>
      </c>
      <c r="AI2" s="35">
        <f t="shared" si="3"/>
        <v>10</v>
      </c>
      <c r="AJ2" s="35">
        <f t="shared" si="3"/>
        <v>11</v>
      </c>
      <c r="AK2" s="35">
        <f t="shared" si="3"/>
        <v>12</v>
      </c>
      <c r="AL2"/>
      <c r="AM2"/>
      <c r="AN2"/>
      <c r="AO2"/>
      <c r="AP2"/>
      <c r="AQ2"/>
      <c r="AR2"/>
      <c r="AS2"/>
      <c r="AT2"/>
      <c r="AU2"/>
      <c r="AV2"/>
      <c r="AW2"/>
    </row>
    <row r="3" spans="1:49">
      <c r="B3" s="35">
        <f t="shared" ref="B3:Y3" si="4">DAY(B7)</f>
        <v>31</v>
      </c>
      <c r="C3" s="35">
        <f t="shared" si="4"/>
        <v>28</v>
      </c>
      <c r="D3" s="35">
        <f t="shared" si="4"/>
        <v>31</v>
      </c>
      <c r="E3" s="35">
        <f t="shared" si="4"/>
        <v>30</v>
      </c>
      <c r="F3" s="35">
        <f t="shared" si="4"/>
        <v>31</v>
      </c>
      <c r="G3" s="35">
        <f t="shared" si="4"/>
        <v>30</v>
      </c>
      <c r="H3" s="35">
        <f t="shared" si="4"/>
        <v>31</v>
      </c>
      <c r="I3" s="35">
        <f t="shared" si="4"/>
        <v>31</v>
      </c>
      <c r="J3" s="35">
        <f t="shared" si="4"/>
        <v>30</v>
      </c>
      <c r="K3" s="35">
        <f t="shared" si="4"/>
        <v>31</v>
      </c>
      <c r="L3" s="35">
        <f t="shared" si="4"/>
        <v>30</v>
      </c>
      <c r="M3" s="35">
        <f t="shared" si="4"/>
        <v>31</v>
      </c>
      <c r="N3" s="35">
        <f t="shared" si="4"/>
        <v>31</v>
      </c>
      <c r="O3" s="35">
        <f t="shared" si="4"/>
        <v>28</v>
      </c>
      <c r="P3" s="35">
        <f t="shared" si="4"/>
        <v>31</v>
      </c>
      <c r="Q3" s="35">
        <f t="shared" si="4"/>
        <v>30</v>
      </c>
      <c r="R3" s="35">
        <f t="shared" si="4"/>
        <v>31</v>
      </c>
      <c r="S3" s="35">
        <f t="shared" si="4"/>
        <v>30</v>
      </c>
      <c r="T3" s="35">
        <f t="shared" si="4"/>
        <v>31</v>
      </c>
      <c r="U3" s="35">
        <f t="shared" si="4"/>
        <v>31</v>
      </c>
      <c r="V3" s="35">
        <f t="shared" si="4"/>
        <v>30</v>
      </c>
      <c r="W3" s="35">
        <f t="shared" si="4"/>
        <v>31</v>
      </c>
      <c r="X3" s="35">
        <f t="shared" si="4"/>
        <v>30</v>
      </c>
      <c r="Y3" s="35">
        <f t="shared" si="4"/>
        <v>31</v>
      </c>
      <c r="Z3" s="35">
        <f t="shared" ref="Z3:AK3" si="5">DAY(Z7)</f>
        <v>31</v>
      </c>
      <c r="AA3" s="35">
        <f t="shared" si="5"/>
        <v>28</v>
      </c>
      <c r="AB3" s="35">
        <f t="shared" si="5"/>
        <v>31</v>
      </c>
      <c r="AC3" s="35">
        <f t="shared" si="5"/>
        <v>30</v>
      </c>
      <c r="AD3" s="35">
        <f t="shared" si="5"/>
        <v>31</v>
      </c>
      <c r="AE3" s="35">
        <f t="shared" si="5"/>
        <v>30</v>
      </c>
      <c r="AF3" s="35">
        <f t="shared" si="5"/>
        <v>31</v>
      </c>
      <c r="AG3" s="35">
        <f t="shared" si="5"/>
        <v>31</v>
      </c>
      <c r="AH3" s="35">
        <f t="shared" si="5"/>
        <v>30</v>
      </c>
      <c r="AI3" s="35">
        <f t="shared" si="5"/>
        <v>31</v>
      </c>
      <c r="AJ3" s="35">
        <f t="shared" si="5"/>
        <v>30</v>
      </c>
      <c r="AK3" s="35">
        <f t="shared" si="5"/>
        <v>31</v>
      </c>
      <c r="AL3"/>
      <c r="AM3"/>
      <c r="AN3"/>
      <c r="AO3"/>
      <c r="AP3"/>
      <c r="AQ3"/>
      <c r="AR3"/>
      <c r="AS3"/>
      <c r="AT3"/>
      <c r="AU3"/>
      <c r="AV3"/>
      <c r="AW3"/>
    </row>
    <row r="4" spans="1:49">
      <c r="B4" s="10">
        <f t="shared" ref="B4:Y4" si="6">YEAR(B7)</f>
        <v>2013</v>
      </c>
      <c r="C4" s="10">
        <f t="shared" si="6"/>
        <v>2013</v>
      </c>
      <c r="D4" s="10">
        <f t="shared" si="6"/>
        <v>2013</v>
      </c>
      <c r="E4" s="10">
        <f t="shared" si="6"/>
        <v>2013</v>
      </c>
      <c r="F4" s="10">
        <f t="shared" si="6"/>
        <v>2013</v>
      </c>
      <c r="G4" s="10">
        <f t="shared" si="6"/>
        <v>2013</v>
      </c>
      <c r="H4" s="10">
        <f t="shared" si="6"/>
        <v>2013</v>
      </c>
      <c r="I4" s="10">
        <f t="shared" si="6"/>
        <v>2013</v>
      </c>
      <c r="J4" s="10">
        <f t="shared" si="6"/>
        <v>2013</v>
      </c>
      <c r="K4" s="10">
        <f t="shared" si="6"/>
        <v>2013</v>
      </c>
      <c r="L4" s="10">
        <f t="shared" si="6"/>
        <v>2013</v>
      </c>
      <c r="M4" s="10">
        <f t="shared" si="6"/>
        <v>2013</v>
      </c>
      <c r="N4" s="10">
        <f t="shared" si="6"/>
        <v>2014</v>
      </c>
      <c r="O4" s="10">
        <f t="shared" si="6"/>
        <v>2014</v>
      </c>
      <c r="P4" s="10">
        <f t="shared" si="6"/>
        <v>2014</v>
      </c>
      <c r="Q4" s="10">
        <f t="shared" si="6"/>
        <v>2014</v>
      </c>
      <c r="R4" s="10">
        <f t="shared" si="6"/>
        <v>2014</v>
      </c>
      <c r="S4" s="10">
        <f t="shared" si="6"/>
        <v>2014</v>
      </c>
      <c r="T4" s="10">
        <f t="shared" si="6"/>
        <v>2014</v>
      </c>
      <c r="U4" s="10">
        <f t="shared" si="6"/>
        <v>2014</v>
      </c>
      <c r="V4" s="10">
        <f t="shared" si="6"/>
        <v>2014</v>
      </c>
      <c r="W4" s="10">
        <f t="shared" si="6"/>
        <v>2014</v>
      </c>
      <c r="X4" s="10">
        <f t="shared" si="6"/>
        <v>2014</v>
      </c>
      <c r="Y4" s="10">
        <f t="shared" si="6"/>
        <v>2014</v>
      </c>
      <c r="Z4" s="10">
        <f t="shared" ref="Z4:AK4" si="7">YEAR(Z7)</f>
        <v>2015</v>
      </c>
      <c r="AA4" s="10">
        <f t="shared" si="7"/>
        <v>2015</v>
      </c>
      <c r="AB4" s="10">
        <f t="shared" si="7"/>
        <v>2015</v>
      </c>
      <c r="AC4" s="10">
        <f t="shared" si="7"/>
        <v>2015</v>
      </c>
      <c r="AD4" s="10">
        <f t="shared" si="7"/>
        <v>2015</v>
      </c>
      <c r="AE4" s="10">
        <f t="shared" si="7"/>
        <v>2015</v>
      </c>
      <c r="AF4" s="10">
        <f t="shared" si="7"/>
        <v>2015</v>
      </c>
      <c r="AG4" s="10">
        <f t="shared" si="7"/>
        <v>2015</v>
      </c>
      <c r="AH4" s="10">
        <f t="shared" si="7"/>
        <v>2015</v>
      </c>
      <c r="AI4" s="10">
        <f t="shared" si="7"/>
        <v>2015</v>
      </c>
      <c r="AJ4" s="10">
        <f t="shared" si="7"/>
        <v>2015</v>
      </c>
      <c r="AK4" s="10">
        <f t="shared" si="7"/>
        <v>2015</v>
      </c>
      <c r="AL4"/>
      <c r="AM4"/>
      <c r="AN4"/>
      <c r="AO4"/>
      <c r="AP4"/>
      <c r="AQ4"/>
      <c r="AR4"/>
      <c r="AS4"/>
      <c r="AT4"/>
      <c r="AU4"/>
      <c r="AV4"/>
      <c r="AW4"/>
    </row>
    <row r="5" spans="1:49">
      <c r="B5" s="9">
        <v>0.5</v>
      </c>
      <c r="C5" s="9">
        <v>0.5</v>
      </c>
      <c r="D5" s="9">
        <v>0.5</v>
      </c>
      <c r="E5" s="9">
        <v>0.5</v>
      </c>
      <c r="F5" s="9">
        <v>0.5</v>
      </c>
      <c r="G5" s="9">
        <v>0.5</v>
      </c>
      <c r="H5" s="9">
        <v>0.5</v>
      </c>
      <c r="I5" s="9">
        <v>0.5</v>
      </c>
      <c r="J5" s="9">
        <v>0.5</v>
      </c>
      <c r="K5" s="9">
        <v>0.5</v>
      </c>
      <c r="L5" s="9">
        <v>0.5</v>
      </c>
      <c r="M5" s="9">
        <v>0.5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>
      <c r="A7" t="s">
        <v>0</v>
      </c>
      <c r="B7" s="182">
        <v>41305</v>
      </c>
      <c r="C7" s="182">
        <v>41333</v>
      </c>
      <c r="D7" s="182">
        <v>41364</v>
      </c>
      <c r="E7" s="182">
        <v>41394</v>
      </c>
      <c r="F7" s="182">
        <v>41425</v>
      </c>
      <c r="G7" s="182">
        <v>41455</v>
      </c>
      <c r="H7" s="182">
        <v>41486</v>
      </c>
      <c r="I7" s="182">
        <v>41517</v>
      </c>
      <c r="J7" s="182">
        <v>41547</v>
      </c>
      <c r="K7" s="182">
        <v>41578</v>
      </c>
      <c r="L7" s="182">
        <v>41608</v>
      </c>
      <c r="M7" s="182">
        <v>41639</v>
      </c>
      <c r="N7" s="182">
        <v>41670</v>
      </c>
      <c r="O7" s="182">
        <v>41698</v>
      </c>
      <c r="P7" s="182">
        <v>41729</v>
      </c>
      <c r="Q7" s="182">
        <v>41759</v>
      </c>
      <c r="R7" s="182">
        <v>41790</v>
      </c>
      <c r="S7" s="182">
        <v>41820</v>
      </c>
      <c r="T7" s="182">
        <v>41851</v>
      </c>
      <c r="U7" s="182">
        <v>41882</v>
      </c>
      <c r="V7" s="182">
        <v>41912</v>
      </c>
      <c r="W7" s="182">
        <v>41943</v>
      </c>
      <c r="X7" s="182">
        <v>41973</v>
      </c>
      <c r="Y7" s="182">
        <v>42004</v>
      </c>
      <c r="Z7" s="182">
        <v>42035</v>
      </c>
      <c r="AA7" s="182">
        <v>42063</v>
      </c>
      <c r="AB7" s="182">
        <v>42094</v>
      </c>
      <c r="AC7" s="182">
        <v>42124</v>
      </c>
      <c r="AD7" s="182">
        <v>42155</v>
      </c>
      <c r="AE7" s="182">
        <v>42185</v>
      </c>
      <c r="AF7" s="182">
        <v>42216</v>
      </c>
      <c r="AG7" s="182">
        <v>42247</v>
      </c>
      <c r="AH7" s="182">
        <v>42277</v>
      </c>
      <c r="AI7" s="182">
        <v>42308</v>
      </c>
      <c r="AJ7" s="182">
        <v>42338</v>
      </c>
      <c r="AK7" s="182">
        <v>42369</v>
      </c>
      <c r="AL7" s="178" t="s">
        <v>238</v>
      </c>
      <c r="AM7"/>
      <c r="AN7"/>
      <c r="AP7" s="201" t="s">
        <v>300</v>
      </c>
      <c r="AQ7" s="201" t="s">
        <v>302</v>
      </c>
      <c r="AR7" s="201" t="s">
        <v>315</v>
      </c>
      <c r="AS7"/>
      <c r="AT7"/>
      <c r="AU7"/>
      <c r="AV7"/>
      <c r="AW7"/>
    </row>
    <row r="8" spans="1:49" s="5" customFormat="1">
      <c r="A8" s="5" t="s">
        <v>1</v>
      </c>
      <c r="B8" s="7">
        <v>-1935.28</v>
      </c>
      <c r="C8" s="7">
        <v>0</v>
      </c>
      <c r="D8" s="7">
        <v>-94.86</v>
      </c>
      <c r="E8" s="7">
        <v>0</v>
      </c>
      <c r="F8" s="7">
        <v>932.74</v>
      </c>
      <c r="G8" s="7">
        <v>6595.94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6"/>
      <c r="AI8" s="6"/>
      <c r="AJ8" s="6"/>
      <c r="AK8" s="6"/>
      <c r="AL8" s="7">
        <f>SUM(B8:AK8)</f>
        <v>5498.54</v>
      </c>
      <c r="AP8" s="179">
        <f t="shared" ref="AP8:AP62" si="8">SUM(B8:M8)</f>
        <v>5498.54</v>
      </c>
      <c r="AQ8" s="179">
        <f t="shared" ref="AQ8:AQ62" si="9">SUM(N8:Y8)</f>
        <v>0</v>
      </c>
      <c r="AR8" s="179">
        <f t="shared" ref="AR8:AR46" si="10">SUM(Z8:AK8)</f>
        <v>0</v>
      </c>
    </row>
    <row r="9" spans="1:49">
      <c r="A9" s="8" t="s">
        <v>2</v>
      </c>
      <c r="B9" s="7">
        <v>0</v>
      </c>
      <c r="C9" s="7">
        <v>-4446.12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6"/>
      <c r="AI9" s="6"/>
      <c r="AJ9" s="6"/>
      <c r="AK9" s="6"/>
      <c r="AL9" s="7">
        <f t="shared" ref="AL9:AL61" si="11">SUM(B9:AK9)</f>
        <v>-4446.12</v>
      </c>
      <c r="AM9"/>
      <c r="AN9"/>
      <c r="AP9" s="179">
        <f t="shared" si="8"/>
        <v>-4446.12</v>
      </c>
      <c r="AQ9" s="179">
        <f t="shared" si="9"/>
        <v>0</v>
      </c>
      <c r="AR9" s="179">
        <f t="shared" si="10"/>
        <v>0</v>
      </c>
      <c r="AS9"/>
      <c r="AT9"/>
      <c r="AU9"/>
      <c r="AV9"/>
      <c r="AW9"/>
    </row>
    <row r="10" spans="1:49">
      <c r="A10" s="8" t="s">
        <v>3</v>
      </c>
      <c r="B10" s="7">
        <v>0</v>
      </c>
      <c r="C10" s="7">
        <v>-14552.42</v>
      </c>
      <c r="D10" s="7">
        <v>0</v>
      </c>
      <c r="E10" s="7">
        <v>0</v>
      </c>
      <c r="F10" s="7">
        <v>137.24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6"/>
      <c r="AI10" s="6"/>
      <c r="AJ10" s="6"/>
      <c r="AK10" s="6"/>
      <c r="AL10" s="7">
        <f t="shared" si="11"/>
        <v>-14415.18</v>
      </c>
      <c r="AM10"/>
      <c r="AN10"/>
      <c r="AP10" s="179">
        <f t="shared" si="8"/>
        <v>-14415.18</v>
      </c>
      <c r="AQ10" s="179">
        <f t="shared" si="9"/>
        <v>0</v>
      </c>
      <c r="AR10" s="179">
        <f t="shared" si="10"/>
        <v>0</v>
      </c>
      <c r="AS10"/>
      <c r="AT10"/>
      <c r="AU10"/>
      <c r="AV10"/>
      <c r="AW10"/>
    </row>
    <row r="11" spans="1:49">
      <c r="A11" t="s">
        <v>210</v>
      </c>
      <c r="B11" s="7">
        <v>0</v>
      </c>
      <c r="C11" s="7">
        <v>-924.94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-1609.34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-127.45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L11" s="7">
        <f t="shared" si="11"/>
        <v>-2661.7299999999996</v>
      </c>
      <c r="AM11"/>
      <c r="AN11"/>
      <c r="AP11" s="179">
        <f t="shared" si="8"/>
        <v>-2534.2799999999997</v>
      </c>
      <c r="AQ11" s="179">
        <f t="shared" si="9"/>
        <v>-127.45</v>
      </c>
      <c r="AR11" s="179">
        <f t="shared" si="10"/>
        <v>0</v>
      </c>
      <c r="AS11"/>
      <c r="AT11"/>
      <c r="AU11"/>
      <c r="AV11"/>
      <c r="AW11"/>
    </row>
    <row r="12" spans="1:49">
      <c r="A12" s="8" t="s">
        <v>180</v>
      </c>
      <c r="B12" s="7">
        <v>747.59</v>
      </c>
      <c r="C12" s="7">
        <v>0</v>
      </c>
      <c r="D12" s="7">
        <v>-5015.47</v>
      </c>
      <c r="E12" s="7">
        <v>-4438.34</v>
      </c>
      <c r="F12" s="7">
        <v>124942.86</v>
      </c>
      <c r="G12" s="7">
        <v>1275.57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-375.98</v>
      </c>
      <c r="R12" s="7">
        <v>0</v>
      </c>
      <c r="S12" s="7">
        <v>-0.35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6"/>
      <c r="AI12" s="6"/>
      <c r="AJ12" s="6"/>
      <c r="AK12" s="6"/>
      <c r="AL12" s="7">
        <f t="shared" si="11"/>
        <v>117135.88</v>
      </c>
      <c r="AM12"/>
      <c r="AN12"/>
      <c r="AP12" s="179">
        <f t="shared" si="8"/>
        <v>117512.21</v>
      </c>
      <c r="AQ12" s="179">
        <f t="shared" si="9"/>
        <v>-376.33000000000004</v>
      </c>
      <c r="AR12" s="179">
        <f t="shared" si="10"/>
        <v>0</v>
      </c>
      <c r="AS12"/>
      <c r="AT12"/>
      <c r="AU12"/>
      <c r="AV12"/>
      <c r="AW12"/>
    </row>
    <row r="13" spans="1:49">
      <c r="A13" s="198" t="s">
        <v>199</v>
      </c>
      <c r="B13" s="7">
        <v>0</v>
      </c>
      <c r="C13" s="7">
        <v>0</v>
      </c>
      <c r="D13" s="7">
        <v>-90000</v>
      </c>
      <c r="E13" s="7">
        <v>0</v>
      </c>
      <c r="F13" s="7">
        <v>0</v>
      </c>
      <c r="G13" s="7">
        <v>-11030733.41</v>
      </c>
      <c r="H13" s="7">
        <v>0</v>
      </c>
      <c r="I13" s="7">
        <v>-1127579.21</v>
      </c>
      <c r="J13" s="7">
        <v>-37564.730000000003</v>
      </c>
      <c r="K13" s="7">
        <v>-1688510.1199999999</v>
      </c>
      <c r="L13" s="7">
        <v>48138.68</v>
      </c>
      <c r="M13" s="7">
        <v>-51285.11</v>
      </c>
      <c r="N13" s="7">
        <v>108732.58</v>
      </c>
      <c r="O13" s="7">
        <v>-33836.92</v>
      </c>
      <c r="P13" s="7">
        <v>-29899.079999999998</v>
      </c>
      <c r="Q13" s="7">
        <v>-1593.1</v>
      </c>
      <c r="R13" s="7">
        <v>92208.639999999999</v>
      </c>
      <c r="S13" s="7">
        <v>6540.69</v>
      </c>
      <c r="T13" s="7">
        <v>-1117.8800000000001</v>
      </c>
      <c r="U13" s="7">
        <v>0</v>
      </c>
      <c r="V13" s="7">
        <v>0</v>
      </c>
      <c r="W13" s="7">
        <v>-792.4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L13" s="7">
        <f t="shared" si="11"/>
        <v>-13837291.370000001</v>
      </c>
      <c r="AM13"/>
      <c r="AN13"/>
      <c r="AP13" s="179">
        <f t="shared" si="8"/>
        <v>-13977533.9</v>
      </c>
      <c r="AQ13" s="179">
        <f t="shared" si="9"/>
        <v>140242.53</v>
      </c>
      <c r="AR13" s="179">
        <f t="shared" si="10"/>
        <v>0</v>
      </c>
      <c r="AS13"/>
      <c r="AT13"/>
      <c r="AU13"/>
      <c r="AV13"/>
      <c r="AW13"/>
    </row>
    <row r="14" spans="1:49">
      <c r="A14" s="203" t="s">
        <v>218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-7619565.4199999999</v>
      </c>
      <c r="J14" s="7">
        <v>0</v>
      </c>
      <c r="K14" s="7">
        <v>-591916.64</v>
      </c>
      <c r="L14" s="7">
        <v>0</v>
      </c>
      <c r="M14" s="7">
        <v>-359986.8</v>
      </c>
      <c r="N14" s="7">
        <v>0</v>
      </c>
      <c r="O14" s="7">
        <v>-76662.2</v>
      </c>
      <c r="P14" s="7">
        <v>-3482.01</v>
      </c>
      <c r="Q14" s="7">
        <v>-29315.26</v>
      </c>
      <c r="R14" s="7">
        <v>85935.03</v>
      </c>
      <c r="S14" s="7">
        <v>3871.31</v>
      </c>
      <c r="T14" s="7">
        <v>0</v>
      </c>
      <c r="U14" s="7">
        <v>0</v>
      </c>
      <c r="V14" s="7">
        <v>0</v>
      </c>
      <c r="W14" s="7">
        <v>-9852.82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L14" s="7">
        <f t="shared" si="11"/>
        <v>-8600974.8099999987</v>
      </c>
      <c r="AM14"/>
      <c r="AN14"/>
      <c r="AP14" s="179">
        <f t="shared" si="8"/>
        <v>-8571468.8599999994</v>
      </c>
      <c r="AQ14" s="179">
        <f t="shared" si="9"/>
        <v>-29505.949999999986</v>
      </c>
      <c r="AR14" s="179">
        <f t="shared" si="10"/>
        <v>0</v>
      </c>
      <c r="AS14"/>
      <c r="AT14"/>
      <c r="AU14"/>
      <c r="AV14"/>
      <c r="AW14"/>
    </row>
    <row r="15" spans="1:49">
      <c r="A15" s="8" t="s">
        <v>185</v>
      </c>
      <c r="B15" s="7">
        <v>10946.43</v>
      </c>
      <c r="C15" s="7">
        <v>0</v>
      </c>
      <c r="D15" s="7">
        <v>471.95</v>
      </c>
      <c r="E15" s="7">
        <v>0</v>
      </c>
      <c r="F15" s="7">
        <v>26873.5</v>
      </c>
      <c r="G15" s="7">
        <v>-5702.03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L15" s="7">
        <f t="shared" si="11"/>
        <v>32589.850000000006</v>
      </c>
      <c r="AM15"/>
      <c r="AN15"/>
      <c r="AP15" s="179">
        <f t="shared" si="8"/>
        <v>32589.850000000006</v>
      </c>
      <c r="AQ15" s="179">
        <f t="shared" si="9"/>
        <v>0</v>
      </c>
      <c r="AR15" s="179">
        <f t="shared" si="10"/>
        <v>0</v>
      </c>
      <c r="AS15"/>
      <c r="AT15"/>
      <c r="AU15"/>
      <c r="AV15"/>
      <c r="AW15"/>
    </row>
    <row r="16" spans="1:49">
      <c r="A16" s="8" t="s">
        <v>183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5516.83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L16" s="7">
        <f t="shared" si="11"/>
        <v>5516.83</v>
      </c>
      <c r="AM16"/>
      <c r="AN16"/>
      <c r="AP16" s="179">
        <f t="shared" si="8"/>
        <v>5516.83</v>
      </c>
      <c r="AQ16" s="179">
        <f t="shared" si="9"/>
        <v>0</v>
      </c>
      <c r="AR16" s="179">
        <f t="shared" si="10"/>
        <v>0</v>
      </c>
      <c r="AS16"/>
      <c r="AT16"/>
      <c r="AU16"/>
      <c r="AV16"/>
      <c r="AW16"/>
    </row>
    <row r="17" spans="1:49">
      <c r="A17" s="202" t="s">
        <v>217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-10293560.970000001</v>
      </c>
      <c r="J17" s="7">
        <v>0</v>
      </c>
      <c r="K17" s="7">
        <v>580413.11</v>
      </c>
      <c r="L17" s="7">
        <v>0</v>
      </c>
      <c r="M17" s="7">
        <v>-153193.53</v>
      </c>
      <c r="N17" s="7">
        <v>0</v>
      </c>
      <c r="O17" s="7">
        <v>-203715.43</v>
      </c>
      <c r="P17" s="7">
        <v>-23903.59</v>
      </c>
      <c r="Q17" s="7">
        <v>0</v>
      </c>
      <c r="R17" s="7">
        <v>113003.06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23095.56</v>
      </c>
      <c r="AD17" s="7">
        <v>0</v>
      </c>
      <c r="AE17" s="7">
        <v>-54.91</v>
      </c>
      <c r="AF17" s="7">
        <v>0</v>
      </c>
      <c r="AG17" s="7">
        <v>0</v>
      </c>
      <c r="AL17" s="7">
        <f t="shared" si="11"/>
        <v>-9957916.6999999993</v>
      </c>
      <c r="AM17"/>
      <c r="AN17"/>
      <c r="AP17" s="179">
        <f t="shared" si="8"/>
        <v>-9866341.3900000006</v>
      </c>
      <c r="AQ17" s="179">
        <f t="shared" si="9"/>
        <v>-114615.95999999999</v>
      </c>
      <c r="AR17" s="179">
        <f t="shared" si="10"/>
        <v>23040.65</v>
      </c>
      <c r="AS17"/>
      <c r="AT17"/>
      <c r="AU17"/>
      <c r="AV17"/>
      <c r="AW17"/>
    </row>
    <row r="18" spans="1:49" s="5" customFormat="1">
      <c r="A18" s="8" t="s">
        <v>184</v>
      </c>
      <c r="B18" s="7">
        <v>-25.33</v>
      </c>
      <c r="C18" s="7">
        <v>0</v>
      </c>
      <c r="D18" s="7">
        <v>-5.45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/>
      <c r="AI18" s="7"/>
      <c r="AJ18" s="7"/>
      <c r="AK18" s="7"/>
      <c r="AL18" s="7">
        <f t="shared" si="11"/>
        <v>-30.779999999999998</v>
      </c>
      <c r="AP18" s="179">
        <f t="shared" si="8"/>
        <v>-30.779999999999998</v>
      </c>
      <c r="AQ18" s="179">
        <f t="shared" si="9"/>
        <v>0</v>
      </c>
      <c r="AR18" s="179">
        <f t="shared" si="10"/>
        <v>0</v>
      </c>
    </row>
    <row r="19" spans="1:49" s="5" customFormat="1">
      <c r="A19" s="209" t="s">
        <v>239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-316462.44</v>
      </c>
      <c r="W19" s="7">
        <v>-4424.8500000000004</v>
      </c>
      <c r="X19" s="7">
        <v>-6548.96</v>
      </c>
      <c r="Y19" s="7">
        <v>-5546.28</v>
      </c>
      <c r="Z19" s="7">
        <v>-11867.37</v>
      </c>
      <c r="AA19" s="7">
        <v>0</v>
      </c>
      <c r="AB19" s="7">
        <v>-27276</v>
      </c>
      <c r="AC19" s="7">
        <v>749.09</v>
      </c>
      <c r="AD19" s="7">
        <v>0</v>
      </c>
      <c r="AE19" s="7">
        <v>0</v>
      </c>
      <c r="AF19" s="7">
        <v>0</v>
      </c>
      <c r="AG19" s="7">
        <v>0</v>
      </c>
      <c r="AH19" s="7"/>
      <c r="AI19" s="7"/>
      <c r="AJ19" s="7"/>
      <c r="AK19" s="7"/>
      <c r="AL19" s="7">
        <f t="shared" si="11"/>
        <v>-371376.81</v>
      </c>
      <c r="AP19" s="179">
        <f t="shared" si="8"/>
        <v>0</v>
      </c>
      <c r="AQ19" s="179">
        <f t="shared" si="9"/>
        <v>-332982.53000000003</v>
      </c>
      <c r="AR19" s="179">
        <f t="shared" si="10"/>
        <v>-38394.280000000006</v>
      </c>
    </row>
    <row r="20" spans="1:49">
      <c r="A20" t="s">
        <v>213</v>
      </c>
      <c r="B20" s="7">
        <v>0</v>
      </c>
      <c r="C20" s="7">
        <v>0</v>
      </c>
      <c r="D20" s="7">
        <v>0</v>
      </c>
      <c r="E20" s="7">
        <v>0</v>
      </c>
      <c r="F20" s="7">
        <v>-102844.65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L20" s="7">
        <f t="shared" si="11"/>
        <v>-102844.65</v>
      </c>
      <c r="AM20"/>
      <c r="AN20"/>
      <c r="AP20" s="179">
        <f t="shared" si="8"/>
        <v>-102844.65</v>
      </c>
      <c r="AQ20" s="179">
        <f t="shared" si="9"/>
        <v>0</v>
      </c>
      <c r="AR20" s="179">
        <f t="shared" si="10"/>
        <v>0</v>
      </c>
      <c r="AS20"/>
      <c r="AT20"/>
      <c r="AU20"/>
      <c r="AV20"/>
      <c r="AW20"/>
    </row>
    <row r="21" spans="1:49">
      <c r="A21" s="196" t="s">
        <v>197</v>
      </c>
      <c r="B21" s="7">
        <v>0</v>
      </c>
      <c r="C21" s="7">
        <v>0</v>
      </c>
      <c r="D21" s="7">
        <v>-135022.32</v>
      </c>
      <c r="E21" s="7">
        <v>0</v>
      </c>
      <c r="F21" s="7">
        <v>-558295.25</v>
      </c>
      <c r="G21" s="7">
        <v>-636.79</v>
      </c>
      <c r="H21" s="7">
        <v>-4266.7299999999996</v>
      </c>
      <c r="I21" s="7">
        <v>0</v>
      </c>
      <c r="J21" s="7">
        <v>0</v>
      </c>
      <c r="K21" s="7">
        <v>288132.25</v>
      </c>
      <c r="L21" s="7">
        <v>-242.99</v>
      </c>
      <c r="M21" s="7">
        <v>-30595.25</v>
      </c>
      <c r="N21" s="7">
        <v>-11883.02</v>
      </c>
      <c r="O21" s="7">
        <v>0</v>
      </c>
      <c r="P21" s="7">
        <v>31881.99</v>
      </c>
      <c r="Q21" s="7">
        <v>0</v>
      </c>
      <c r="R21" s="7">
        <v>2087.6799999999998</v>
      </c>
      <c r="S21" s="7">
        <v>-49.91</v>
      </c>
      <c r="T21" s="7">
        <v>4488.92</v>
      </c>
      <c r="U21" s="7">
        <v>0</v>
      </c>
      <c r="V21" s="7">
        <v>-118.82</v>
      </c>
      <c r="W21" s="7">
        <v>0</v>
      </c>
      <c r="X21" s="7">
        <v>3103.96</v>
      </c>
      <c r="Y21" s="7">
        <v>0</v>
      </c>
      <c r="Z21" s="7">
        <v>-2688.28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L21" s="7">
        <f t="shared" si="11"/>
        <v>-414104.56000000011</v>
      </c>
      <c r="AM21"/>
      <c r="AN21"/>
      <c r="AP21" s="179">
        <f t="shared" si="8"/>
        <v>-440927.08000000007</v>
      </c>
      <c r="AQ21" s="179">
        <f t="shared" si="9"/>
        <v>29510.800000000003</v>
      </c>
      <c r="AR21" s="179">
        <f t="shared" si="10"/>
        <v>-2688.28</v>
      </c>
      <c r="AS21"/>
      <c r="AT21"/>
      <c r="AU21"/>
      <c r="AV21"/>
      <c r="AW21"/>
    </row>
    <row r="22" spans="1:49">
      <c r="A22" t="s">
        <v>208</v>
      </c>
      <c r="B22" s="7">
        <v>0</v>
      </c>
      <c r="C22" s="7">
        <v>0</v>
      </c>
      <c r="D22" s="7">
        <v>-1988.66</v>
      </c>
      <c r="E22" s="7">
        <v>0</v>
      </c>
      <c r="F22" s="7">
        <v>-139.21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L22" s="7">
        <f t="shared" si="11"/>
        <v>-2127.87</v>
      </c>
      <c r="AM22"/>
      <c r="AN22"/>
      <c r="AP22" s="179">
        <f t="shared" si="8"/>
        <v>-2127.87</v>
      </c>
      <c r="AQ22" s="179">
        <f t="shared" si="9"/>
        <v>0</v>
      </c>
      <c r="AR22" s="179">
        <f t="shared" si="10"/>
        <v>0</v>
      </c>
      <c r="AS22"/>
      <c r="AT22"/>
      <c r="AU22"/>
      <c r="AV22"/>
      <c r="AW22"/>
    </row>
    <row r="23" spans="1:49">
      <c r="A23" s="196" t="s">
        <v>198</v>
      </c>
      <c r="B23" s="7">
        <v>-7261.96</v>
      </c>
      <c r="C23" s="7">
        <v>0</v>
      </c>
      <c r="D23" s="7">
        <v>-355.98</v>
      </c>
      <c r="E23" s="7">
        <v>0</v>
      </c>
      <c r="F23" s="7">
        <v>2276.85</v>
      </c>
      <c r="G23" s="7">
        <v>0</v>
      </c>
      <c r="H23" s="7">
        <v>-2276.85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L23" s="7">
        <f t="shared" si="11"/>
        <v>-7617.9400000000005</v>
      </c>
      <c r="AM23"/>
      <c r="AN23"/>
      <c r="AP23" s="179">
        <f t="shared" si="8"/>
        <v>-7617.9400000000005</v>
      </c>
      <c r="AQ23" s="179">
        <f t="shared" si="9"/>
        <v>0</v>
      </c>
      <c r="AR23" s="179">
        <f t="shared" si="10"/>
        <v>0</v>
      </c>
      <c r="AS23"/>
      <c r="AT23"/>
      <c r="AU23"/>
      <c r="AV23"/>
      <c r="AW23"/>
    </row>
    <row r="24" spans="1:49">
      <c r="A24" t="s">
        <v>215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-14430.85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L24" s="7">
        <f t="shared" si="11"/>
        <v>-14430.85</v>
      </c>
      <c r="AM24"/>
      <c r="AN24"/>
      <c r="AP24" s="179">
        <f t="shared" si="8"/>
        <v>-14430.85</v>
      </c>
      <c r="AQ24" s="179">
        <f t="shared" si="9"/>
        <v>0</v>
      </c>
      <c r="AR24" s="179">
        <f t="shared" si="10"/>
        <v>0</v>
      </c>
      <c r="AS24"/>
      <c r="AT24"/>
      <c r="AU24"/>
      <c r="AV24"/>
      <c r="AW24"/>
    </row>
    <row r="25" spans="1:49">
      <c r="A25" t="s">
        <v>209</v>
      </c>
      <c r="B25" s="7">
        <v>0</v>
      </c>
      <c r="C25" s="7">
        <v>0</v>
      </c>
      <c r="D25" s="7">
        <v>0</v>
      </c>
      <c r="E25" s="7">
        <v>-243.96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-105357.5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L25" s="7">
        <f t="shared" si="11"/>
        <v>-105601.46</v>
      </c>
      <c r="AM25"/>
      <c r="AN25"/>
      <c r="AP25" s="179">
        <f t="shared" si="8"/>
        <v>-243.96</v>
      </c>
      <c r="AQ25" s="179">
        <f t="shared" si="9"/>
        <v>-105357.5</v>
      </c>
      <c r="AR25" s="179">
        <f t="shared" si="10"/>
        <v>0</v>
      </c>
      <c r="AS25"/>
      <c r="AT25"/>
      <c r="AU25"/>
      <c r="AV25"/>
      <c r="AW25"/>
    </row>
    <row r="26" spans="1:49">
      <c r="A26" t="s">
        <v>211</v>
      </c>
      <c r="B26" s="7">
        <v>0</v>
      </c>
      <c r="C26" s="7">
        <v>-75135.5</v>
      </c>
      <c r="D26" s="7">
        <v>-856</v>
      </c>
      <c r="E26" s="7">
        <v>0</v>
      </c>
      <c r="F26" s="7">
        <v>-143.81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L26" s="7">
        <f t="shared" si="11"/>
        <v>-76135.31</v>
      </c>
      <c r="AM26"/>
      <c r="AN26"/>
      <c r="AP26" s="179">
        <f t="shared" si="8"/>
        <v>-76135.31</v>
      </c>
      <c r="AQ26" s="179">
        <f t="shared" si="9"/>
        <v>0</v>
      </c>
      <c r="AR26" s="179">
        <f t="shared" si="10"/>
        <v>0</v>
      </c>
      <c r="AS26"/>
      <c r="AT26"/>
      <c r="AU26"/>
      <c r="AV26"/>
      <c r="AW26"/>
    </row>
    <row r="27" spans="1:49">
      <c r="A27" s="197" t="s">
        <v>186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-6384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L27" s="7">
        <f t="shared" si="11"/>
        <v>-6384</v>
      </c>
      <c r="AM27"/>
      <c r="AN27"/>
      <c r="AP27" s="179">
        <f t="shared" si="8"/>
        <v>-6384</v>
      </c>
      <c r="AQ27" s="179">
        <f t="shared" si="9"/>
        <v>0</v>
      </c>
      <c r="AR27" s="179">
        <f t="shared" si="10"/>
        <v>0</v>
      </c>
      <c r="AS27"/>
      <c r="AT27"/>
      <c r="AU27"/>
      <c r="AV27"/>
      <c r="AW27"/>
    </row>
    <row r="28" spans="1:49">
      <c r="A28" s="8" t="s">
        <v>187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-2095.98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L28" s="7">
        <f t="shared" si="11"/>
        <v>-2095.98</v>
      </c>
      <c r="AM28"/>
      <c r="AN28"/>
      <c r="AP28" s="179">
        <f t="shared" si="8"/>
        <v>-2095.98</v>
      </c>
      <c r="AQ28" s="179">
        <f t="shared" si="9"/>
        <v>0</v>
      </c>
      <c r="AR28" s="179">
        <f t="shared" si="10"/>
        <v>0</v>
      </c>
      <c r="AS28"/>
      <c r="AT28"/>
      <c r="AU28"/>
      <c r="AV28"/>
      <c r="AW28"/>
    </row>
    <row r="29" spans="1:49">
      <c r="A29" t="s">
        <v>212</v>
      </c>
      <c r="B29" s="7">
        <v>0</v>
      </c>
      <c r="C29" s="7">
        <v>-387067.05</v>
      </c>
      <c r="D29" s="7">
        <v>-408.49</v>
      </c>
      <c r="E29" s="7">
        <v>0</v>
      </c>
      <c r="F29" s="7">
        <v>-1605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L29" s="7">
        <f t="shared" si="11"/>
        <v>-389080.54</v>
      </c>
      <c r="AM29"/>
      <c r="AN29"/>
      <c r="AP29" s="179">
        <f t="shared" si="8"/>
        <v>-389080.54</v>
      </c>
      <c r="AQ29" s="179">
        <f t="shared" si="9"/>
        <v>0</v>
      </c>
      <c r="AR29" s="179">
        <f t="shared" si="10"/>
        <v>0</v>
      </c>
      <c r="AS29"/>
      <c r="AT29"/>
      <c r="AU29"/>
      <c r="AV29"/>
      <c r="AW29"/>
    </row>
    <row r="30" spans="1:49">
      <c r="A30" s="209" t="s">
        <v>240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-1486305.31</v>
      </c>
      <c r="T30" s="7">
        <v>8710.26</v>
      </c>
      <c r="U30" s="7">
        <v>-17878.419999999998</v>
      </c>
      <c r="V30" s="7">
        <v>2656.09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L30" s="7">
        <f t="shared" si="11"/>
        <v>-1492817.38</v>
      </c>
      <c r="AM30"/>
      <c r="AN30"/>
      <c r="AP30" s="179">
        <f t="shared" si="8"/>
        <v>0</v>
      </c>
      <c r="AQ30" s="179">
        <f t="shared" si="9"/>
        <v>-1492817.38</v>
      </c>
      <c r="AR30" s="179">
        <f t="shared" si="10"/>
        <v>0</v>
      </c>
      <c r="AS30"/>
      <c r="AT30"/>
      <c r="AU30"/>
      <c r="AV30"/>
      <c r="AW30"/>
    </row>
    <row r="31" spans="1:49">
      <c r="A31" s="207" t="s">
        <v>232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-17283478.530000001</v>
      </c>
      <c r="L31" s="7">
        <v>-1054702.17</v>
      </c>
      <c r="M31" s="7">
        <v>0</v>
      </c>
      <c r="N31" s="7">
        <v>0</v>
      </c>
      <c r="O31" s="7">
        <v>-665779.84</v>
      </c>
      <c r="P31" s="7">
        <v>-10621.59</v>
      </c>
      <c r="Q31" s="7">
        <v>-11326.17</v>
      </c>
      <c r="R31" s="7">
        <v>-14533.14</v>
      </c>
      <c r="S31" s="7">
        <v>-35317</v>
      </c>
      <c r="T31" s="7">
        <v>-51000.89</v>
      </c>
      <c r="U31" s="7">
        <v>-39638.47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30260.66</v>
      </c>
      <c r="AD31" s="7">
        <v>0</v>
      </c>
      <c r="AE31" s="7">
        <v>-1127.79</v>
      </c>
      <c r="AF31" s="7">
        <v>0</v>
      </c>
      <c r="AG31" s="7">
        <v>0</v>
      </c>
      <c r="AL31" s="7">
        <f t="shared" si="11"/>
        <v>-19137264.930000003</v>
      </c>
      <c r="AM31"/>
      <c r="AN31"/>
      <c r="AP31" s="179">
        <f t="shared" si="8"/>
        <v>-18338180.700000003</v>
      </c>
      <c r="AQ31" s="179">
        <f t="shared" si="9"/>
        <v>-828217.1</v>
      </c>
      <c r="AR31" s="179">
        <f t="shared" si="10"/>
        <v>29132.87</v>
      </c>
      <c r="AS31"/>
      <c r="AT31"/>
      <c r="AU31"/>
      <c r="AV31"/>
      <c r="AW31"/>
    </row>
    <row r="32" spans="1:49" ht="13.5" customHeight="1">
      <c r="A32" s="208" t="s">
        <v>233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-2943420.0900000003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-1418146.14</v>
      </c>
      <c r="T32" s="7">
        <v>-10317.48</v>
      </c>
      <c r="U32" s="7">
        <v>258.49</v>
      </c>
      <c r="V32" s="7">
        <v>0</v>
      </c>
      <c r="W32" s="7">
        <v>-42.38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L32" s="7">
        <f t="shared" si="11"/>
        <v>-4371667.6000000006</v>
      </c>
      <c r="AM32"/>
      <c r="AN32"/>
      <c r="AP32" s="179">
        <f t="shared" si="8"/>
        <v>-2943420.0900000003</v>
      </c>
      <c r="AQ32" s="179">
        <f t="shared" si="9"/>
        <v>-1428247.5099999998</v>
      </c>
      <c r="AR32" s="179">
        <f t="shared" si="10"/>
        <v>0</v>
      </c>
      <c r="AS32"/>
      <c r="AT32"/>
      <c r="AU32"/>
      <c r="AV32"/>
      <c r="AW32"/>
    </row>
    <row r="33" spans="1:49" ht="13.5" customHeight="1">
      <c r="A33" s="209" t="s">
        <v>241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-13580970.73</v>
      </c>
      <c r="W33" s="7">
        <v>-48537.240000000005</v>
      </c>
      <c r="X33" s="7">
        <v>0</v>
      </c>
      <c r="Y33" s="7">
        <v>6285.41</v>
      </c>
      <c r="Z33" s="7">
        <v>-57484.75</v>
      </c>
      <c r="AA33" s="7">
        <v>22501.89</v>
      </c>
      <c r="AB33" s="7">
        <v>-870.51</v>
      </c>
      <c r="AC33" s="7">
        <v>161944.57999999999</v>
      </c>
      <c r="AD33" s="7">
        <v>0</v>
      </c>
      <c r="AE33" s="7">
        <v>2920.54</v>
      </c>
      <c r="AF33" s="7">
        <v>0</v>
      </c>
      <c r="AG33" s="7">
        <v>0</v>
      </c>
      <c r="AL33" s="7">
        <f t="shared" si="11"/>
        <v>-13494210.810000001</v>
      </c>
      <c r="AM33"/>
      <c r="AN33"/>
      <c r="AP33" s="179">
        <f t="shared" si="8"/>
        <v>0</v>
      </c>
      <c r="AQ33" s="179">
        <f t="shared" si="9"/>
        <v>-13623222.560000001</v>
      </c>
      <c r="AR33" s="179">
        <f t="shared" si="10"/>
        <v>129011.74999999999</v>
      </c>
      <c r="AS33"/>
      <c r="AT33"/>
      <c r="AU33"/>
      <c r="AV33"/>
      <c r="AW33"/>
    </row>
    <row r="34" spans="1:49" ht="13.5" customHeight="1">
      <c r="A34" s="209" t="s">
        <v>242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-150501.17000000001</v>
      </c>
      <c r="M34" s="7">
        <v>-150.47</v>
      </c>
      <c r="N34" s="7">
        <v>0</v>
      </c>
      <c r="O34" s="7">
        <v>-1810.31</v>
      </c>
      <c r="P34" s="7">
        <v>-637.44000000000005</v>
      </c>
      <c r="Q34" s="7">
        <v>-825.99</v>
      </c>
      <c r="R34" s="7">
        <v>-6.91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L34" s="7">
        <f t="shared" si="11"/>
        <v>-153932.29</v>
      </c>
      <c r="AM34"/>
      <c r="AN34"/>
      <c r="AP34" s="179">
        <f t="shared" si="8"/>
        <v>-150651.64000000001</v>
      </c>
      <c r="AQ34" s="179">
        <f t="shared" si="9"/>
        <v>-3280.6499999999996</v>
      </c>
      <c r="AR34" s="179">
        <f t="shared" si="10"/>
        <v>0</v>
      </c>
      <c r="AS34"/>
      <c r="AT34"/>
      <c r="AU34"/>
      <c r="AV34"/>
      <c r="AW34"/>
    </row>
    <row r="35" spans="1:49">
      <c r="A35" t="s">
        <v>214</v>
      </c>
      <c r="B35" s="7">
        <v>0</v>
      </c>
      <c r="C35" s="7">
        <v>0</v>
      </c>
      <c r="D35" s="7">
        <v>0</v>
      </c>
      <c r="E35" s="7">
        <v>0</v>
      </c>
      <c r="F35" s="7">
        <v>-52104.38</v>
      </c>
      <c r="G35" s="7">
        <v>0</v>
      </c>
      <c r="H35" s="7">
        <v>0</v>
      </c>
      <c r="I35" s="7">
        <v>-31.41</v>
      </c>
      <c r="J35" s="7">
        <v>0</v>
      </c>
      <c r="K35" s="7">
        <v>31.41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L35" s="7">
        <f t="shared" si="11"/>
        <v>-52104.38</v>
      </c>
      <c r="AM35"/>
      <c r="AN35"/>
      <c r="AP35" s="179">
        <f t="shared" si="8"/>
        <v>-52104.38</v>
      </c>
      <c r="AQ35" s="179">
        <f t="shared" si="9"/>
        <v>0</v>
      </c>
      <c r="AR35" s="179">
        <f t="shared" si="10"/>
        <v>0</v>
      </c>
      <c r="AS35"/>
      <c r="AT35"/>
      <c r="AU35"/>
      <c r="AV35"/>
      <c r="AW35"/>
    </row>
    <row r="36" spans="1:49">
      <c r="A36" s="209" t="s">
        <v>243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-178783.69</v>
      </c>
      <c r="M36" s="7">
        <v>-4105.51</v>
      </c>
      <c r="N36" s="7">
        <v>0</v>
      </c>
      <c r="O36" s="7">
        <v>0</v>
      </c>
      <c r="P36" s="7">
        <v>2274.94</v>
      </c>
      <c r="Q36" s="7">
        <v>0</v>
      </c>
      <c r="R36" s="7">
        <v>0</v>
      </c>
      <c r="S36" s="7">
        <v>1975.99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L36" s="7">
        <f t="shared" si="11"/>
        <v>-178638.27000000002</v>
      </c>
      <c r="AM36"/>
      <c r="AN36"/>
      <c r="AP36" s="179">
        <f t="shared" si="8"/>
        <v>-182889.2</v>
      </c>
      <c r="AQ36" s="179">
        <f t="shared" si="9"/>
        <v>4250.93</v>
      </c>
      <c r="AR36" s="179">
        <f t="shared" si="10"/>
        <v>0</v>
      </c>
      <c r="AS36"/>
      <c r="AT36"/>
      <c r="AU36"/>
      <c r="AV36"/>
      <c r="AW36"/>
    </row>
    <row r="37" spans="1:49">
      <c r="A37" s="207" t="s">
        <v>244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-269806.92</v>
      </c>
      <c r="N37" s="7">
        <v>0</v>
      </c>
      <c r="O37" s="7">
        <v>0</v>
      </c>
      <c r="P37" s="7">
        <v>-8428.0300000000007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L37" s="7">
        <f t="shared" si="11"/>
        <v>-278234.95</v>
      </c>
      <c r="AM37"/>
      <c r="AN37"/>
      <c r="AP37" s="179">
        <f t="shared" si="8"/>
        <v>-269806.92</v>
      </c>
      <c r="AQ37" s="179">
        <f t="shared" si="9"/>
        <v>-8428.0300000000007</v>
      </c>
      <c r="AR37" s="179">
        <f t="shared" si="10"/>
        <v>0</v>
      </c>
      <c r="AS37"/>
      <c r="AT37"/>
      <c r="AU37"/>
      <c r="AV37"/>
      <c r="AW37"/>
    </row>
    <row r="38" spans="1:49">
      <c r="A38" s="207" t="s">
        <v>259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-1641912.7699999998</v>
      </c>
      <c r="X38" s="7">
        <v>0</v>
      </c>
      <c r="Y38" s="7">
        <v>-283018.73</v>
      </c>
      <c r="Z38" s="7">
        <v>-11801.51</v>
      </c>
      <c r="AA38" s="7">
        <v>-936.45999999999992</v>
      </c>
      <c r="AB38" s="7">
        <v>0</v>
      </c>
      <c r="AC38" s="7">
        <v>30266.21</v>
      </c>
      <c r="AD38" s="7">
        <v>0</v>
      </c>
      <c r="AE38" s="7">
        <v>0</v>
      </c>
      <c r="AF38" s="7">
        <v>0</v>
      </c>
      <c r="AG38" s="7">
        <v>0</v>
      </c>
      <c r="AL38" s="7">
        <f t="shared" si="11"/>
        <v>-1907403.2599999998</v>
      </c>
      <c r="AM38"/>
      <c r="AN38"/>
      <c r="AP38" s="179">
        <f t="shared" si="8"/>
        <v>0</v>
      </c>
      <c r="AQ38" s="179">
        <f t="shared" si="9"/>
        <v>-1924931.4999999998</v>
      </c>
      <c r="AR38" s="179">
        <f t="shared" si="10"/>
        <v>17528.239999999998</v>
      </c>
      <c r="AS38"/>
      <c r="AT38"/>
      <c r="AU38"/>
      <c r="AV38"/>
      <c r="AW38"/>
    </row>
    <row r="39" spans="1:49">
      <c r="A39" s="207" t="s">
        <v>245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-2021669.75</v>
      </c>
      <c r="R39" s="7">
        <v>0</v>
      </c>
      <c r="S39" s="7">
        <v>13455.56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-8258.56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L39" s="7">
        <f t="shared" si="11"/>
        <v>-2016472.75</v>
      </c>
      <c r="AM39"/>
      <c r="AN39"/>
      <c r="AP39" s="179">
        <f t="shared" si="8"/>
        <v>0</v>
      </c>
      <c r="AQ39" s="179">
        <f t="shared" si="9"/>
        <v>-2016472.75</v>
      </c>
      <c r="AR39" s="179">
        <f t="shared" si="10"/>
        <v>0</v>
      </c>
      <c r="AS39"/>
      <c r="AT39"/>
      <c r="AU39"/>
      <c r="AV39"/>
      <c r="AW39"/>
    </row>
    <row r="40" spans="1:49">
      <c r="A40" s="207" t="s">
        <v>246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-258524.02</v>
      </c>
      <c r="P40" s="7">
        <v>-786.01</v>
      </c>
      <c r="Q40" s="7">
        <v>-796.44</v>
      </c>
      <c r="R40" s="7">
        <v>4725.28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L40" s="7">
        <f t="shared" si="11"/>
        <v>-255381.19</v>
      </c>
      <c r="AM40"/>
      <c r="AN40"/>
      <c r="AP40" s="179">
        <f t="shared" si="8"/>
        <v>0</v>
      </c>
      <c r="AQ40" s="179">
        <f t="shared" si="9"/>
        <v>-255381.19</v>
      </c>
      <c r="AR40" s="179">
        <f t="shared" si="10"/>
        <v>0</v>
      </c>
      <c r="AS40"/>
      <c r="AT40"/>
      <c r="AU40"/>
      <c r="AV40"/>
      <c r="AW40"/>
    </row>
    <row r="41" spans="1:49">
      <c r="A41" s="207" t="s">
        <v>247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-897355.16999999993</v>
      </c>
      <c r="P41" s="7">
        <v>-1973.66</v>
      </c>
      <c r="Q41" s="7">
        <v>1340</v>
      </c>
      <c r="R41" s="7">
        <v>12552.4</v>
      </c>
      <c r="S41" s="7">
        <v>-1258.8900000000001</v>
      </c>
      <c r="T41" s="7">
        <v>-1205.75</v>
      </c>
      <c r="U41" s="7">
        <v>-5266.5</v>
      </c>
      <c r="V41" s="7">
        <v>-139.5</v>
      </c>
      <c r="W41" s="7">
        <v>0</v>
      </c>
      <c r="X41" s="7">
        <v>-316.2</v>
      </c>
      <c r="Y41" s="7">
        <v>-455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L41" s="7">
        <f t="shared" si="11"/>
        <v>-894078.2699999999</v>
      </c>
      <c r="AM41"/>
      <c r="AN41"/>
      <c r="AP41" s="179">
        <f t="shared" si="8"/>
        <v>0</v>
      </c>
      <c r="AQ41" s="179">
        <f t="shared" si="9"/>
        <v>-894078.2699999999</v>
      </c>
      <c r="AR41" s="179">
        <f t="shared" si="10"/>
        <v>0</v>
      </c>
      <c r="AS41"/>
      <c r="AT41"/>
      <c r="AU41"/>
      <c r="AV41"/>
      <c r="AW41"/>
    </row>
    <row r="42" spans="1:49">
      <c r="A42" s="207" t="s">
        <v>258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-34150695.5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L42" s="7">
        <f t="shared" si="11"/>
        <v>-34150695.5</v>
      </c>
      <c r="AM42"/>
      <c r="AN42"/>
      <c r="AP42" s="179">
        <f t="shared" si="8"/>
        <v>0</v>
      </c>
      <c r="AQ42" s="179">
        <f t="shared" si="9"/>
        <v>-34150695.5</v>
      </c>
      <c r="AR42" s="179">
        <f t="shared" si="10"/>
        <v>0</v>
      </c>
      <c r="AS42"/>
      <c r="AT42"/>
      <c r="AU42"/>
      <c r="AV42"/>
      <c r="AW42"/>
    </row>
    <row r="43" spans="1:49">
      <c r="A43" s="207" t="s">
        <v>248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-178223.31999999998</v>
      </c>
      <c r="P43" s="7">
        <v>0</v>
      </c>
      <c r="Q43" s="7">
        <v>-406.84999999999997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L43" s="7">
        <f t="shared" si="11"/>
        <v>-178630.16999999998</v>
      </c>
      <c r="AM43"/>
      <c r="AN43"/>
      <c r="AP43" s="179">
        <f t="shared" si="8"/>
        <v>0</v>
      </c>
      <c r="AQ43" s="179">
        <f t="shared" si="9"/>
        <v>-178630.16999999998</v>
      </c>
      <c r="AR43" s="179">
        <f t="shared" si="10"/>
        <v>0</v>
      </c>
      <c r="AS43"/>
      <c r="AT43"/>
      <c r="AU43"/>
      <c r="AV43"/>
      <c r="AW43"/>
    </row>
    <row r="44" spans="1:49">
      <c r="A44" s="207" t="s">
        <v>249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-662170.12</v>
      </c>
      <c r="P44" s="7">
        <v>0</v>
      </c>
      <c r="Q44" s="7">
        <v>140.79</v>
      </c>
      <c r="R44" s="7">
        <v>246021.33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-9672.67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L44" s="7">
        <f t="shared" si="11"/>
        <v>-425680.67</v>
      </c>
      <c r="AM44"/>
      <c r="AN44"/>
      <c r="AP44" s="179">
        <f t="shared" si="8"/>
        <v>0</v>
      </c>
      <c r="AQ44" s="179">
        <f t="shared" si="9"/>
        <v>-416008</v>
      </c>
      <c r="AR44" s="179">
        <f t="shared" si="10"/>
        <v>-9672.67</v>
      </c>
      <c r="AS44"/>
      <c r="AT44"/>
      <c r="AU44"/>
      <c r="AV44"/>
      <c r="AW44"/>
    </row>
    <row r="45" spans="1:49">
      <c r="A45" s="208" t="s">
        <v>231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-15552.32</v>
      </c>
      <c r="K45" s="7">
        <v>-252.31</v>
      </c>
      <c r="L45" s="7">
        <v>4.72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L45" s="7">
        <f t="shared" si="11"/>
        <v>-15799.91</v>
      </c>
      <c r="AM45"/>
      <c r="AN45"/>
      <c r="AP45" s="179">
        <f t="shared" si="8"/>
        <v>-15799.91</v>
      </c>
      <c r="AQ45" s="179">
        <f t="shared" si="9"/>
        <v>0</v>
      </c>
      <c r="AR45" s="179">
        <f t="shared" si="10"/>
        <v>0</v>
      </c>
      <c r="AS45"/>
      <c r="AT45"/>
      <c r="AU45"/>
      <c r="AV45"/>
      <c r="AW45"/>
    </row>
    <row r="46" spans="1:49">
      <c r="A46" s="209" t="s">
        <v>250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-782732.79</v>
      </c>
      <c r="S46" s="7">
        <v>-122.08</v>
      </c>
      <c r="T46" s="7">
        <v>-23781.4</v>
      </c>
      <c r="U46" s="7">
        <v>-51.56</v>
      </c>
      <c r="V46" s="7">
        <v>-92.31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L46" s="7">
        <f t="shared" si="11"/>
        <v>-806780.14000000013</v>
      </c>
      <c r="AM46"/>
      <c r="AN46"/>
      <c r="AP46" s="179">
        <f t="shared" si="8"/>
        <v>0</v>
      </c>
      <c r="AQ46" s="179">
        <f t="shared" si="9"/>
        <v>-806780.14000000013</v>
      </c>
      <c r="AR46" s="179">
        <f t="shared" si="10"/>
        <v>0</v>
      </c>
      <c r="AS46"/>
      <c r="AT46"/>
      <c r="AU46"/>
      <c r="AV46"/>
      <c r="AW46"/>
    </row>
    <row r="47" spans="1:49">
      <c r="A47" s="212" t="s">
        <v>409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-28306.959999999999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L47" s="7">
        <f t="shared" si="11"/>
        <v>-28306.959999999999</v>
      </c>
      <c r="AM47"/>
      <c r="AN47"/>
      <c r="AP47" s="179">
        <f t="shared" ref="AP47:AP61" si="12">SUM(B47:M47)</f>
        <v>0</v>
      </c>
      <c r="AQ47" s="179">
        <f t="shared" ref="AQ47:AQ61" si="13">SUM(N47:Y47)</f>
        <v>-28306.959999999999</v>
      </c>
      <c r="AR47" s="179">
        <f t="shared" ref="AR47:AR61" si="14">SUM(Z47:AK47)</f>
        <v>0</v>
      </c>
      <c r="AS47"/>
      <c r="AT47"/>
      <c r="AU47"/>
      <c r="AV47"/>
      <c r="AW47"/>
    </row>
    <row r="48" spans="1:49">
      <c r="A48" s="339" t="s">
        <v>411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-85293.79</v>
      </c>
      <c r="Z48" s="7">
        <v>0</v>
      </c>
      <c r="AA48" s="7">
        <v>0</v>
      </c>
      <c r="AB48" s="7">
        <v>46420.88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L48" s="7">
        <f>SUM(B48:AK48)</f>
        <v>-38872.909999999996</v>
      </c>
      <c r="AM48"/>
      <c r="AN48"/>
      <c r="AP48" s="179">
        <f t="shared" si="12"/>
        <v>0</v>
      </c>
      <c r="AQ48" s="179">
        <f t="shared" si="13"/>
        <v>-85293.79</v>
      </c>
      <c r="AR48" s="179">
        <f t="shared" si="14"/>
        <v>46420.88</v>
      </c>
      <c r="AS48"/>
      <c r="AT48"/>
      <c r="AU48"/>
      <c r="AV48"/>
      <c r="AW48"/>
    </row>
    <row r="49" spans="1:61">
      <c r="A49" s="339" t="s">
        <v>412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-42471.48</v>
      </c>
      <c r="Z49" s="7">
        <v>0</v>
      </c>
      <c r="AA49" s="7">
        <v>0</v>
      </c>
      <c r="AB49" s="7">
        <v>-626.28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L49" s="7">
        <f>SUM(B49:AK49)</f>
        <v>-43097.760000000002</v>
      </c>
      <c r="AM49"/>
      <c r="AN49"/>
      <c r="AP49" s="179">
        <f t="shared" si="12"/>
        <v>0</v>
      </c>
      <c r="AQ49" s="179">
        <f t="shared" si="13"/>
        <v>-42471.48</v>
      </c>
      <c r="AR49" s="179">
        <f t="shared" si="14"/>
        <v>-626.28</v>
      </c>
      <c r="AS49"/>
      <c r="AT49"/>
      <c r="AU49"/>
      <c r="AV49"/>
      <c r="AW49"/>
    </row>
    <row r="50" spans="1:61">
      <c r="A50" s="339" t="s">
        <v>416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-11188.21</v>
      </c>
      <c r="Z50" s="7">
        <v>0</v>
      </c>
      <c r="AA50" s="7">
        <v>0</v>
      </c>
      <c r="AB50" s="7">
        <v>-21758.07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L50" s="7">
        <f>SUM(B50:AK50)</f>
        <v>-32946.28</v>
      </c>
      <c r="AM50"/>
      <c r="AN50"/>
      <c r="AP50" s="179">
        <f t="shared" si="12"/>
        <v>0</v>
      </c>
      <c r="AQ50" s="179">
        <f t="shared" si="13"/>
        <v>-11188.21</v>
      </c>
      <c r="AR50" s="179">
        <f t="shared" si="14"/>
        <v>-21758.07</v>
      </c>
      <c r="AS50"/>
      <c r="AT50"/>
      <c r="AU50"/>
      <c r="AV50"/>
      <c r="AW50"/>
    </row>
    <row r="51" spans="1:61">
      <c r="A51" s="340" t="s">
        <v>415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-1015781.92</v>
      </c>
      <c r="AD51" s="7">
        <v>-16663.419999999998</v>
      </c>
      <c r="AE51" s="7">
        <v>-7190.8600000000006</v>
      </c>
      <c r="AF51" s="7">
        <v>1255.8800000000001</v>
      </c>
      <c r="AG51" s="7">
        <v>0</v>
      </c>
      <c r="AL51" s="7">
        <f>SUM(B51:AK51)</f>
        <v>-1038380.3200000001</v>
      </c>
      <c r="AM51"/>
      <c r="AN51"/>
      <c r="AP51" s="179">
        <f t="shared" si="12"/>
        <v>0</v>
      </c>
      <c r="AQ51" s="179">
        <f t="shared" si="13"/>
        <v>0</v>
      </c>
      <c r="AR51" s="179">
        <f t="shared" si="14"/>
        <v>-1038380.3200000001</v>
      </c>
      <c r="AS51"/>
      <c r="AT51"/>
      <c r="AU51"/>
      <c r="AV51"/>
      <c r="AW51"/>
    </row>
    <row r="52" spans="1:61">
      <c r="A52" s="212" t="s">
        <v>410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-1228386.54</v>
      </c>
      <c r="AF52" s="7">
        <v>0</v>
      </c>
      <c r="AG52" s="7">
        <v>0</v>
      </c>
      <c r="AL52" s="7">
        <f t="shared" si="11"/>
        <v>-1228386.54</v>
      </c>
      <c r="AM52"/>
      <c r="AN52"/>
      <c r="AP52" s="179">
        <f t="shared" si="12"/>
        <v>0</v>
      </c>
      <c r="AQ52" s="179">
        <f t="shared" si="13"/>
        <v>0</v>
      </c>
      <c r="AR52" s="179">
        <f t="shared" si="14"/>
        <v>-1228386.54</v>
      </c>
      <c r="AS52"/>
      <c r="AT52"/>
      <c r="AU52"/>
      <c r="AV52"/>
      <c r="AW52"/>
    </row>
    <row r="53" spans="1:61">
      <c r="A53" s="209" t="s">
        <v>251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-3117728.43</v>
      </c>
      <c r="W53" s="7">
        <v>-107931.93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L53" s="7">
        <f t="shared" si="11"/>
        <v>-3225660.3600000003</v>
      </c>
      <c r="AM53"/>
      <c r="AN53"/>
      <c r="AP53" s="179">
        <f t="shared" si="12"/>
        <v>0</v>
      </c>
      <c r="AQ53" s="179">
        <f t="shared" si="13"/>
        <v>-3225660.3600000003</v>
      </c>
      <c r="AR53" s="179">
        <f t="shared" si="14"/>
        <v>0</v>
      </c>
      <c r="AS53"/>
      <c r="AT53"/>
      <c r="AU53"/>
      <c r="AV53"/>
      <c r="AW53"/>
    </row>
    <row r="54" spans="1:61">
      <c r="A54" s="209" t="s">
        <v>252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-100391.95</v>
      </c>
      <c r="W54" s="7">
        <v>0</v>
      </c>
      <c r="X54" s="7">
        <v>-2433683.4099999997</v>
      </c>
      <c r="Y54" s="7">
        <v>-516099.15</v>
      </c>
      <c r="Z54" s="7">
        <v>-186003.46</v>
      </c>
      <c r="AA54" s="7">
        <v>0</v>
      </c>
      <c r="AB54" s="7">
        <v>-3256.6899999999996</v>
      </c>
      <c r="AC54" s="7">
        <v>-103.12</v>
      </c>
      <c r="AD54" s="7">
        <v>0</v>
      </c>
      <c r="AE54" s="7">
        <v>0</v>
      </c>
      <c r="AF54" s="7">
        <v>0</v>
      </c>
      <c r="AG54" s="7">
        <v>0</v>
      </c>
      <c r="AL54" s="7">
        <f t="shared" si="11"/>
        <v>-3239537.78</v>
      </c>
      <c r="AM54"/>
      <c r="AN54"/>
      <c r="AP54" s="179">
        <f t="shared" si="12"/>
        <v>0</v>
      </c>
      <c r="AQ54" s="179">
        <f t="shared" si="13"/>
        <v>-3050174.51</v>
      </c>
      <c r="AR54" s="179">
        <f t="shared" si="14"/>
        <v>-189363.27</v>
      </c>
      <c r="AS54"/>
      <c r="AT54"/>
      <c r="AU54"/>
      <c r="AV54"/>
      <c r="AW54"/>
    </row>
    <row r="55" spans="1:61">
      <c r="A55" s="209" t="s">
        <v>253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-631679.62</v>
      </c>
      <c r="W55" s="7">
        <v>-9546.32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L55" s="7">
        <f t="shared" si="11"/>
        <v>-641225.93999999994</v>
      </c>
      <c r="AM55"/>
      <c r="AN55"/>
      <c r="AP55" s="179">
        <f t="shared" si="12"/>
        <v>0</v>
      </c>
      <c r="AQ55" s="179">
        <f t="shared" si="13"/>
        <v>-641225.93999999994</v>
      </c>
      <c r="AR55" s="179">
        <f t="shared" si="14"/>
        <v>0</v>
      </c>
      <c r="AS55"/>
      <c r="AT55"/>
      <c r="AU55"/>
      <c r="AV55"/>
      <c r="AW55"/>
    </row>
    <row r="56" spans="1:61">
      <c r="A56" s="209" t="s">
        <v>254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-864319.41999999993</v>
      </c>
      <c r="W56" s="7">
        <v>-16237.11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L56" s="7">
        <f t="shared" si="11"/>
        <v>-880556.52999999991</v>
      </c>
      <c r="AM56"/>
      <c r="AN56"/>
      <c r="AP56" s="179">
        <f t="shared" si="12"/>
        <v>0</v>
      </c>
      <c r="AQ56" s="179">
        <f t="shared" si="13"/>
        <v>-880556.52999999991</v>
      </c>
      <c r="AR56" s="179">
        <f t="shared" si="14"/>
        <v>0</v>
      </c>
      <c r="AS56"/>
      <c r="AT56"/>
      <c r="AU56"/>
      <c r="AV56"/>
      <c r="AW56"/>
    </row>
    <row r="57" spans="1:61">
      <c r="A57" s="339" t="s">
        <v>414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-1101893.1399999999</v>
      </c>
      <c r="AG57" s="7">
        <v>0</v>
      </c>
      <c r="AL57" s="7">
        <f t="shared" si="11"/>
        <v>-1101893.1399999999</v>
      </c>
      <c r="AM57"/>
      <c r="AN57"/>
      <c r="AP57" s="179">
        <f t="shared" si="12"/>
        <v>0</v>
      </c>
      <c r="AQ57" s="179">
        <f t="shared" si="13"/>
        <v>0</v>
      </c>
      <c r="AR57" s="179">
        <f t="shared" si="14"/>
        <v>-1101893.1399999999</v>
      </c>
      <c r="AS57"/>
      <c r="AT57"/>
      <c r="AU57"/>
      <c r="AV57"/>
      <c r="AW57"/>
    </row>
    <row r="58" spans="1:61">
      <c r="A58" s="341" t="s">
        <v>417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G58" s="7">
        <v>-3254755.4299999997</v>
      </c>
      <c r="AL58" s="7">
        <f t="shared" si="11"/>
        <v>-3254755.4299999997</v>
      </c>
      <c r="AM58"/>
      <c r="AN58"/>
      <c r="AP58" s="179">
        <f t="shared" si="12"/>
        <v>0</v>
      </c>
      <c r="AQ58" s="179">
        <f t="shared" si="13"/>
        <v>0</v>
      </c>
      <c r="AR58" s="179">
        <f t="shared" si="14"/>
        <v>-3254755.4299999997</v>
      </c>
      <c r="AS58"/>
      <c r="AT58"/>
      <c r="AU58"/>
      <c r="AV58"/>
      <c r="AW58"/>
    </row>
    <row r="59" spans="1:61">
      <c r="A59" s="341" t="s">
        <v>418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G59" s="7">
        <v>-1820912.5799999998</v>
      </c>
      <c r="AL59" s="7">
        <f t="shared" si="11"/>
        <v>-1820912.5799999998</v>
      </c>
      <c r="AM59"/>
      <c r="AN59"/>
      <c r="AP59" s="179">
        <f t="shared" si="12"/>
        <v>0</v>
      </c>
      <c r="AQ59" s="179">
        <f t="shared" si="13"/>
        <v>0</v>
      </c>
      <c r="AR59" s="179">
        <f t="shared" si="14"/>
        <v>-1820912.5799999998</v>
      </c>
      <c r="AS59"/>
      <c r="AT59"/>
      <c r="AU59"/>
      <c r="AV59"/>
      <c r="AW59"/>
    </row>
    <row r="60" spans="1:61">
      <c r="A60" s="339" t="s">
        <v>413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-57094.6</v>
      </c>
      <c r="AG60" s="7">
        <v>0</v>
      </c>
      <c r="AL60" s="7">
        <f t="shared" si="11"/>
        <v>-57094.6</v>
      </c>
      <c r="AM60"/>
      <c r="AN60"/>
      <c r="AP60" s="179">
        <f t="shared" si="12"/>
        <v>0</v>
      </c>
      <c r="AQ60" s="179">
        <f t="shared" si="13"/>
        <v>0</v>
      </c>
      <c r="AR60" s="179">
        <f t="shared" si="14"/>
        <v>-57094.6</v>
      </c>
      <c r="AS60"/>
      <c r="AT60"/>
      <c r="AU60"/>
      <c r="AV60"/>
      <c r="AW60"/>
    </row>
    <row r="61" spans="1:61">
      <c r="A61" s="341" t="s">
        <v>419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G61" s="7">
        <v>-1504625.7400000002</v>
      </c>
      <c r="AL61" s="7">
        <f t="shared" si="11"/>
        <v>-1504625.7400000002</v>
      </c>
      <c r="AM61"/>
      <c r="AN61"/>
      <c r="AP61" s="179">
        <f t="shared" si="12"/>
        <v>0</v>
      </c>
      <c r="AQ61" s="179">
        <f t="shared" si="13"/>
        <v>0</v>
      </c>
      <c r="AR61" s="179">
        <f t="shared" si="14"/>
        <v>-1504625.7400000002</v>
      </c>
      <c r="AS61"/>
      <c r="AT61"/>
      <c r="AU61"/>
      <c r="AV61"/>
      <c r="AW61"/>
    </row>
    <row r="62" spans="1:61" ht="13.5" thickBot="1">
      <c r="A62" t="s">
        <v>4</v>
      </c>
      <c r="B62" s="185">
        <f t="shared" ref="B62:AL62" si="15">SUM(B8:B61)</f>
        <v>2471.4499999999998</v>
      </c>
      <c r="C62" s="185">
        <f t="shared" si="15"/>
        <v>-482126.02999999997</v>
      </c>
      <c r="D62" s="185">
        <f t="shared" si="15"/>
        <v>-233275.28000000003</v>
      </c>
      <c r="E62" s="185">
        <f t="shared" si="15"/>
        <v>-4682.3</v>
      </c>
      <c r="F62" s="185">
        <f t="shared" si="15"/>
        <v>-559969.11</v>
      </c>
      <c r="G62" s="185">
        <f t="shared" si="15"/>
        <v>-11043631.569999998</v>
      </c>
      <c r="H62" s="185">
        <f t="shared" si="15"/>
        <v>-6543.58</v>
      </c>
      <c r="I62" s="185">
        <f t="shared" si="15"/>
        <v>-19035220.18</v>
      </c>
      <c r="J62" s="185">
        <f t="shared" si="15"/>
        <v>-53117.05</v>
      </c>
      <c r="K62" s="185">
        <f t="shared" si="15"/>
        <v>-21640610.260000002</v>
      </c>
      <c r="L62" s="185">
        <f t="shared" si="15"/>
        <v>-1336086.6199999999</v>
      </c>
      <c r="M62" s="185">
        <f t="shared" si="15"/>
        <v>-877603.56999999983</v>
      </c>
      <c r="N62" s="185">
        <f t="shared" si="15"/>
        <v>-8507.9400000000023</v>
      </c>
      <c r="O62" s="185">
        <f t="shared" si="15"/>
        <v>-2978077.3299999996</v>
      </c>
      <c r="P62" s="185">
        <f t="shared" si="15"/>
        <v>-45574.479999999996</v>
      </c>
      <c r="Q62" s="185">
        <f t="shared" si="15"/>
        <v>-2064956.2</v>
      </c>
      <c r="R62" s="185">
        <f t="shared" si="15"/>
        <v>-240739.42000000004</v>
      </c>
      <c r="S62" s="185">
        <f t="shared" si="15"/>
        <v>-2915356.13</v>
      </c>
      <c r="T62" s="185">
        <f t="shared" si="15"/>
        <v>-74224.22</v>
      </c>
      <c r="U62" s="185">
        <f t="shared" si="15"/>
        <v>-62576.46</v>
      </c>
      <c r="V62" s="185">
        <f t="shared" si="15"/>
        <v>-18609247.130000003</v>
      </c>
      <c r="W62" s="185">
        <f t="shared" si="15"/>
        <v>-35989973.32</v>
      </c>
      <c r="X62" s="185">
        <f t="shared" si="15"/>
        <v>-2437444.61</v>
      </c>
      <c r="Y62" s="185">
        <f t="shared" si="15"/>
        <v>-974352.75</v>
      </c>
      <c r="Z62" s="185">
        <f t="shared" si="15"/>
        <v>-269845.37</v>
      </c>
      <c r="AA62" s="185">
        <f t="shared" si="15"/>
        <v>11892.76</v>
      </c>
      <c r="AB62" s="185">
        <f t="shared" si="15"/>
        <v>-7366.6699999999992</v>
      </c>
      <c r="AC62" s="185">
        <f t="shared" si="15"/>
        <v>-769568.94000000006</v>
      </c>
      <c r="AD62" s="185">
        <f t="shared" si="15"/>
        <v>-16663.419999999998</v>
      </c>
      <c r="AE62" s="185">
        <f t="shared" si="15"/>
        <v>-1233839.56</v>
      </c>
      <c r="AF62" s="185">
        <f t="shared" si="15"/>
        <v>-1157731.8600000001</v>
      </c>
      <c r="AG62" s="185">
        <f t="shared" si="15"/>
        <v>-6580293.75</v>
      </c>
      <c r="AH62" s="185">
        <f t="shared" si="15"/>
        <v>0</v>
      </c>
      <c r="AI62" s="185">
        <f t="shared" si="15"/>
        <v>0</v>
      </c>
      <c r="AJ62" s="185">
        <f t="shared" si="15"/>
        <v>0</v>
      </c>
      <c r="AK62" s="185">
        <f t="shared" si="15"/>
        <v>0</v>
      </c>
      <c r="AL62" s="185">
        <f t="shared" si="15"/>
        <v>-131694840.89999998</v>
      </c>
      <c r="AM62"/>
      <c r="AN62"/>
      <c r="AP62" s="179">
        <f t="shared" si="8"/>
        <v>-55270394.099999994</v>
      </c>
      <c r="AQ62" s="179">
        <f t="shared" si="9"/>
        <v>-66401029.990000002</v>
      </c>
      <c r="AR62" s="179">
        <f>SUM(Z62:AK62)</f>
        <v>-10023416.810000001</v>
      </c>
      <c r="AS62"/>
      <c r="AT62"/>
      <c r="AU62"/>
      <c r="AV62"/>
      <c r="AW62"/>
    </row>
    <row r="63" spans="1:61" ht="13.5" thickTop="1">
      <c r="A63" s="178" t="s">
        <v>216</v>
      </c>
      <c r="B63" s="7">
        <v>-42166.85</v>
      </c>
      <c r="C63" s="7">
        <v>0</v>
      </c>
      <c r="D63" s="7">
        <v>-394.74</v>
      </c>
      <c r="E63" s="7">
        <v>-690.94999999999993</v>
      </c>
      <c r="F63" s="7">
        <v>-90300.19</v>
      </c>
      <c r="G63" s="7">
        <v>-5969.46</v>
      </c>
      <c r="H63" s="7">
        <v>1588.01</v>
      </c>
      <c r="I63" s="7">
        <v>-29701.870000000003</v>
      </c>
      <c r="J63" s="7">
        <v>-48348.79</v>
      </c>
      <c r="K63" s="7">
        <v>-33794.93</v>
      </c>
      <c r="L63" s="7">
        <v>0</v>
      </c>
      <c r="M63" s="7">
        <v>0</v>
      </c>
      <c r="N63" s="7">
        <v>-5548.88</v>
      </c>
      <c r="O63" s="7">
        <v>0</v>
      </c>
      <c r="P63" s="7">
        <v>0</v>
      </c>
      <c r="Q63" s="7">
        <v>-2073.5500000000002</v>
      </c>
      <c r="R63" s="7">
        <v>-6698.04</v>
      </c>
      <c r="S63" s="7">
        <v>-891.39</v>
      </c>
      <c r="T63" s="7">
        <v>0</v>
      </c>
      <c r="U63" s="7">
        <v>-1096.49</v>
      </c>
      <c r="V63" s="7">
        <v>-1979215.15</v>
      </c>
      <c r="W63" s="7">
        <v>-243856.04</v>
      </c>
      <c r="X63" s="7">
        <v>0</v>
      </c>
      <c r="Y63" s="7">
        <v>-2247.9300000000003</v>
      </c>
      <c r="Z63" s="7">
        <v>0</v>
      </c>
      <c r="AA63" s="7">
        <v>0</v>
      </c>
      <c r="AB63" s="7">
        <v>-6534.51</v>
      </c>
      <c r="AC63" s="7">
        <v>-1433.04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f>SUM(B63:Y63)</f>
        <v>-2491407.2400000002</v>
      </c>
      <c r="AM63"/>
      <c r="AN63" s="178" t="s">
        <v>301</v>
      </c>
      <c r="AP63" s="179">
        <f>AP62-'Exhibit 1.1 Page 4'!D8</f>
        <v>28729605.900000006</v>
      </c>
      <c r="AQ63" s="179">
        <f>AQ62+AP63</f>
        <v>-37671424.089999996</v>
      </c>
      <c r="AR63" s="179"/>
      <c r="AS63"/>
      <c r="AT63"/>
      <c r="AU63"/>
      <c r="AV63"/>
      <c r="AW63"/>
    </row>
    <row r="64" spans="1:6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7" spans="1:61">
      <c r="A67" s="3" t="s">
        <v>6</v>
      </c>
    </row>
    <row r="68" spans="1:61" s="7" customFormat="1"/>
    <row r="69" spans="1:61">
      <c r="A69" s="3" t="s">
        <v>8</v>
      </c>
      <c r="B69" s="2" t="s">
        <v>12</v>
      </c>
      <c r="C69" s="2" t="s">
        <v>13</v>
      </c>
      <c r="D69" s="2" t="s">
        <v>14</v>
      </c>
      <c r="E69" s="2" t="s">
        <v>15</v>
      </c>
      <c r="F69" s="2" t="s">
        <v>16</v>
      </c>
      <c r="G69" s="2" t="s">
        <v>17</v>
      </c>
      <c r="H69" s="2" t="s">
        <v>18</v>
      </c>
      <c r="I69" s="2" t="s">
        <v>19</v>
      </c>
      <c r="J69" s="2" t="s">
        <v>20</v>
      </c>
      <c r="K69" s="2" t="s">
        <v>21</v>
      </c>
      <c r="L69" s="2" t="s">
        <v>22</v>
      </c>
      <c r="M69" s="2" t="s">
        <v>23</v>
      </c>
      <c r="N69" s="2" t="s">
        <v>24</v>
      </c>
      <c r="O69" s="2" t="s">
        <v>25</v>
      </c>
      <c r="P69" s="2" t="s">
        <v>26</v>
      </c>
      <c r="Q69" s="2" t="s">
        <v>27</v>
      </c>
      <c r="R69" s="2" t="s">
        <v>28</v>
      </c>
      <c r="S69" s="2" t="s">
        <v>29</v>
      </c>
      <c r="T69" s="2" t="s">
        <v>30</v>
      </c>
      <c r="U69" s="2" t="s">
        <v>31</v>
      </c>
      <c r="V69" s="2" t="s">
        <v>32</v>
      </c>
    </row>
    <row r="70" spans="1:61">
      <c r="A70" s="2" t="s">
        <v>10</v>
      </c>
      <c r="B70" s="14">
        <v>0.52500000000000002</v>
      </c>
      <c r="C70" s="14">
        <v>4.7500000000000001E-2</v>
      </c>
      <c r="D70" s="14">
        <v>4.2799999999999998E-2</v>
      </c>
      <c r="E70" s="14">
        <v>3.85E-2</v>
      </c>
      <c r="F70" s="14">
        <v>3.4700000000000002E-2</v>
      </c>
      <c r="G70" s="14">
        <v>3.1199999999999999E-2</v>
      </c>
      <c r="H70" s="14">
        <v>2.9499999999999998E-2</v>
      </c>
      <c r="I70" s="14">
        <v>2.9499999999999998E-2</v>
      </c>
      <c r="J70" s="14">
        <v>2.9600000000000001E-2</v>
      </c>
      <c r="K70" s="14">
        <v>2.9499999999999998E-2</v>
      </c>
      <c r="L70" s="14">
        <v>2.9600000000000001E-2</v>
      </c>
      <c r="M70" s="14">
        <v>2.9499999999999998E-2</v>
      </c>
      <c r="N70" s="14">
        <v>2.9600000000000001E-2</v>
      </c>
      <c r="O70" s="14">
        <v>2.9499999999999998E-2</v>
      </c>
      <c r="P70" s="14">
        <v>2.9600000000000001E-2</v>
      </c>
      <c r="Q70" s="14">
        <v>1.46E-2</v>
      </c>
      <c r="R70" s="14"/>
      <c r="S70" s="14"/>
      <c r="T70" s="14"/>
      <c r="U70" s="14"/>
      <c r="V70" s="14"/>
    </row>
    <row r="71" spans="1:61">
      <c r="A71" s="2" t="s">
        <v>11</v>
      </c>
      <c r="B71" s="14">
        <v>0.51880000000000004</v>
      </c>
      <c r="C71" s="14">
        <v>3.61E-2</v>
      </c>
      <c r="D71" s="14">
        <v>3.3399999999999999E-2</v>
      </c>
      <c r="E71" s="14">
        <v>3.09E-2</v>
      </c>
      <c r="F71" s="14">
        <v>2.86E-2</v>
      </c>
      <c r="G71" s="14">
        <v>2.64E-2</v>
      </c>
      <c r="H71" s="14">
        <v>2.4400000000000002E-2</v>
      </c>
      <c r="I71" s="14">
        <v>2.2599999999999999E-2</v>
      </c>
      <c r="J71" s="14">
        <v>2.231E-2</v>
      </c>
      <c r="K71" s="14">
        <v>2.23E-2</v>
      </c>
      <c r="L71" s="14">
        <v>2.231E-2</v>
      </c>
      <c r="M71" s="14">
        <v>2.23E-2</v>
      </c>
      <c r="N71" s="14">
        <v>2.231E-2</v>
      </c>
      <c r="O71" s="14">
        <v>2.23E-2</v>
      </c>
      <c r="P71" s="14">
        <v>2.231E-2</v>
      </c>
      <c r="Q71" s="14">
        <v>2.23E-2</v>
      </c>
      <c r="R71" s="14">
        <v>2.231E-2</v>
      </c>
      <c r="S71" s="14">
        <v>2.23E-2</v>
      </c>
      <c r="T71" s="14">
        <v>2.231E-2</v>
      </c>
      <c r="U71" s="14">
        <v>2.23E-2</v>
      </c>
      <c r="V71" s="14">
        <v>1.1140000000000001E-2</v>
      </c>
    </row>
    <row r="72" spans="1:61">
      <c r="A72" s="2" t="s">
        <v>9</v>
      </c>
      <c r="B72" s="14">
        <v>1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/>
      <c r="S72" s="14"/>
      <c r="T72" s="14"/>
      <c r="U72" s="14"/>
      <c r="V72" s="14"/>
    </row>
    <row r="73" spans="1:61">
      <c r="A73" s="178" t="s">
        <v>207</v>
      </c>
      <c r="B73" s="14">
        <v>3.7600000000000001E-2</v>
      </c>
      <c r="C73" s="14">
        <v>7.22E-2</v>
      </c>
      <c r="D73" s="14">
        <v>6.6799999999999998E-2</v>
      </c>
      <c r="E73" s="14">
        <v>6.1800000000000001E-2</v>
      </c>
      <c r="F73" s="14">
        <v>5.7200000000000001E-2</v>
      </c>
      <c r="G73" s="14">
        <v>5.28E-2</v>
      </c>
      <c r="H73" s="14">
        <v>4.8800000000000003E-2</v>
      </c>
      <c r="I73" s="14">
        <v>4.5199999999999997E-2</v>
      </c>
      <c r="J73" s="14">
        <v>4.462E-2</v>
      </c>
      <c r="K73" s="14">
        <v>4.4600000000000001E-2</v>
      </c>
      <c r="L73" s="14">
        <v>4.462E-2</v>
      </c>
      <c r="M73" s="14">
        <v>4.4600000000000001E-2</v>
      </c>
      <c r="N73" s="14">
        <v>4.462E-2</v>
      </c>
      <c r="O73" s="14">
        <v>4.4600000000000001E-2</v>
      </c>
      <c r="P73" s="14">
        <v>4.462E-2</v>
      </c>
      <c r="Q73" s="14">
        <v>4.4600000000000001E-2</v>
      </c>
      <c r="R73" s="14">
        <v>4.462E-2</v>
      </c>
      <c r="S73" s="14">
        <v>4.4600000000000001E-2</v>
      </c>
      <c r="T73" s="14">
        <v>4.462E-2</v>
      </c>
      <c r="U73" s="14">
        <v>4.4600000000000001E-2</v>
      </c>
      <c r="V73" s="14">
        <v>2.2280000000000001E-2</v>
      </c>
    </row>
    <row r="75" spans="1:61">
      <c r="A75" s="3" t="s">
        <v>33</v>
      </c>
      <c r="B75" s="213">
        <f>B7</f>
        <v>41305</v>
      </c>
      <c r="C75" s="213">
        <f t="shared" ref="C75" si="16">EOMONTH(B75,1)</f>
        <v>41333</v>
      </c>
      <c r="D75" s="213">
        <f t="shared" ref="D75" si="17">EOMONTH(C75,1)</f>
        <v>41364</v>
      </c>
      <c r="E75" s="213">
        <f t="shared" ref="E75" si="18">EOMONTH(D75,1)</f>
        <v>41394</v>
      </c>
      <c r="F75" s="213">
        <f t="shared" ref="F75" si="19">EOMONTH(E75,1)</f>
        <v>41425</v>
      </c>
      <c r="G75" s="213">
        <f t="shared" ref="G75" si="20">EOMONTH(F75,1)</f>
        <v>41455</v>
      </c>
      <c r="H75" s="213">
        <f t="shared" ref="H75" si="21">EOMONTH(G75,1)</f>
        <v>41486</v>
      </c>
      <c r="I75" s="213">
        <f t="shared" ref="I75" si="22">EOMONTH(H75,1)</f>
        <v>41517</v>
      </c>
      <c r="J75" s="213">
        <f t="shared" ref="J75" si="23">EOMONTH(I75,1)</f>
        <v>41547</v>
      </c>
      <c r="K75" s="213">
        <f t="shared" ref="K75" si="24">EOMONTH(J75,1)</f>
        <v>41578</v>
      </c>
      <c r="L75" s="213">
        <f t="shared" ref="L75" si="25">EOMONTH(K75,1)</f>
        <v>41608</v>
      </c>
      <c r="M75" s="213">
        <f t="shared" ref="M75" si="26">EOMONTH(L75,1)</f>
        <v>41639</v>
      </c>
      <c r="N75" s="213">
        <f t="shared" ref="N75" si="27">EOMONTH(M75,1)</f>
        <v>41670</v>
      </c>
      <c r="O75" s="213">
        <f t="shared" ref="O75" si="28">EOMONTH(N75,1)</f>
        <v>41698</v>
      </c>
      <c r="P75" s="213">
        <f t="shared" ref="P75" si="29">EOMONTH(O75,1)</f>
        <v>41729</v>
      </c>
      <c r="Q75" s="213">
        <f t="shared" ref="Q75" si="30">EOMONTH(P75,1)</f>
        <v>41759</v>
      </c>
      <c r="R75" s="213">
        <f t="shared" ref="R75" si="31">EOMONTH(Q75,1)</f>
        <v>41790</v>
      </c>
      <c r="S75" s="213">
        <f t="shared" ref="S75" si="32">EOMONTH(R75,1)</f>
        <v>41820</v>
      </c>
      <c r="T75" s="213">
        <f t="shared" ref="T75" si="33">EOMONTH(S75,1)</f>
        <v>41851</v>
      </c>
      <c r="U75" s="213">
        <f t="shared" ref="U75" si="34">EOMONTH(T75,1)</f>
        <v>41882</v>
      </c>
      <c r="V75" s="213">
        <f t="shared" ref="V75" si="35">EOMONTH(U75,1)</f>
        <v>41912</v>
      </c>
      <c r="W75" s="3">
        <f t="shared" ref="W75" si="36">EOMONTH(V75,1)</f>
        <v>41943</v>
      </c>
      <c r="X75" s="3">
        <f t="shared" ref="X75" si="37">EOMONTH(W75,1)</f>
        <v>41973</v>
      </c>
      <c r="Y75" s="3">
        <f t="shared" ref="Y75" si="38">EOMONTH(X75,1)</f>
        <v>42004</v>
      </c>
      <c r="Z75" s="3">
        <f t="shared" ref="Z75" si="39">EOMONTH(Y75,1)</f>
        <v>42035</v>
      </c>
      <c r="AA75" s="3">
        <f t="shared" ref="AA75" si="40">EOMONTH(Z75,1)</f>
        <v>42063</v>
      </c>
      <c r="AB75" s="3">
        <f t="shared" ref="AB75" si="41">EOMONTH(AA75,1)</f>
        <v>42094</v>
      </c>
      <c r="AC75" s="3">
        <f t="shared" ref="AC75" si="42">EOMONTH(AB75,1)</f>
        <v>42124</v>
      </c>
      <c r="AD75" s="3">
        <f t="shared" ref="AD75" si="43">EOMONTH(AC75,1)</f>
        <v>42155</v>
      </c>
      <c r="AE75" s="3">
        <f t="shared" ref="AE75" si="44">EOMONTH(AD75,1)</f>
        <v>42185</v>
      </c>
      <c r="AF75" s="3">
        <f t="shared" ref="AF75" si="45">EOMONTH(AE75,1)</f>
        <v>42216</v>
      </c>
      <c r="AG75" s="3">
        <f t="shared" ref="AG75" si="46">EOMONTH(AF75,1)</f>
        <v>42247</v>
      </c>
      <c r="AH75" s="3">
        <f t="shared" ref="AH75" si="47">EOMONTH(AG75,1)</f>
        <v>42277</v>
      </c>
      <c r="AI75" s="3">
        <f t="shared" ref="AI75" si="48">EOMONTH(AH75,1)</f>
        <v>42308</v>
      </c>
      <c r="AJ75" s="3">
        <f t="shared" ref="AJ75" si="49">EOMONTH(AI75,1)</f>
        <v>42338</v>
      </c>
      <c r="AK75" s="3">
        <f>EOMONTH(AJ75,1)</f>
        <v>42369</v>
      </c>
      <c r="AL75" s="3">
        <f t="shared" ref="AL75:AW75" si="50">EOMONTH(AK75,1)</f>
        <v>42400</v>
      </c>
      <c r="AM75" s="3">
        <f t="shared" si="50"/>
        <v>42429</v>
      </c>
      <c r="AN75" s="3">
        <f t="shared" si="50"/>
        <v>42460</v>
      </c>
      <c r="AO75" s="3">
        <f t="shared" si="50"/>
        <v>42490</v>
      </c>
      <c r="AP75" s="3">
        <f t="shared" si="50"/>
        <v>42521</v>
      </c>
      <c r="AQ75" s="3">
        <f t="shared" si="50"/>
        <v>42551</v>
      </c>
      <c r="AR75" s="3">
        <f t="shared" si="50"/>
        <v>42582</v>
      </c>
      <c r="AS75" s="3">
        <f t="shared" si="50"/>
        <v>42613</v>
      </c>
      <c r="AT75" s="3">
        <f t="shared" si="50"/>
        <v>42643</v>
      </c>
      <c r="AU75" s="3">
        <f t="shared" si="50"/>
        <v>42674</v>
      </c>
      <c r="AV75" s="3">
        <f t="shared" si="50"/>
        <v>42704</v>
      </c>
      <c r="AW75" s="3">
        <f t="shared" si="50"/>
        <v>42735</v>
      </c>
    </row>
    <row r="76" spans="1:61">
      <c r="A76" s="184" t="s">
        <v>205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7"/>
      <c r="X76" s="7"/>
      <c r="Y76" s="7"/>
      <c r="Z76" s="7"/>
      <c r="AA76" s="7"/>
    </row>
    <row r="77" spans="1:61">
      <c r="A77" s="183" t="s">
        <v>202</v>
      </c>
      <c r="B77" s="214">
        <f t="shared" ref="B77:L77" si="51">-SUM($B$62:$M$62)*$B$71/12*0</f>
        <v>0</v>
      </c>
      <c r="C77" s="214">
        <f>-SUM($B$62:$M$62)*$B$71/12*0</f>
        <v>0</v>
      </c>
      <c r="D77" s="214">
        <f t="shared" si="51"/>
        <v>0</v>
      </c>
      <c r="E77" s="214">
        <f t="shared" si="51"/>
        <v>0</v>
      </c>
      <c r="F77" s="214">
        <f t="shared" si="51"/>
        <v>0</v>
      </c>
      <c r="G77" s="214">
        <f t="shared" si="51"/>
        <v>0</v>
      </c>
      <c r="H77" s="214">
        <f t="shared" si="51"/>
        <v>0</v>
      </c>
      <c r="I77" s="214">
        <f t="shared" si="51"/>
        <v>0</v>
      </c>
      <c r="J77" s="214">
        <f t="shared" si="51"/>
        <v>0</v>
      </c>
      <c r="K77" s="214">
        <f t="shared" si="51"/>
        <v>0</v>
      </c>
      <c r="L77" s="214">
        <f t="shared" si="51"/>
        <v>0</v>
      </c>
      <c r="M77" s="214">
        <f>-SUM($B$62:$M$62)*$B$71/12*0</f>
        <v>0</v>
      </c>
      <c r="N77" s="214">
        <f t="shared" ref="N77:V77" si="52">-SUM($B$62:$M$62)*$C$71/12*0</f>
        <v>0</v>
      </c>
      <c r="O77" s="214">
        <f t="shared" si="52"/>
        <v>0</v>
      </c>
      <c r="P77" s="214">
        <f t="shared" si="52"/>
        <v>0</v>
      </c>
      <c r="Q77" s="214">
        <f t="shared" si="52"/>
        <v>0</v>
      </c>
      <c r="R77" s="214">
        <f t="shared" si="52"/>
        <v>0</v>
      </c>
      <c r="S77" s="214">
        <f t="shared" si="52"/>
        <v>0</v>
      </c>
      <c r="T77" s="214">
        <f t="shared" si="52"/>
        <v>0</v>
      </c>
      <c r="U77" s="214">
        <f t="shared" si="52"/>
        <v>0</v>
      </c>
      <c r="V77" s="214">
        <f t="shared" si="52"/>
        <v>0</v>
      </c>
      <c r="W77" s="7">
        <f>-SUM($B$62:$M$62)*$C$71/12*0</f>
        <v>0</v>
      </c>
      <c r="X77" s="7">
        <f t="shared" ref="X77:AW77" si="53">-SUM($B$62:$M$62)*$C$71/12*0</f>
        <v>0</v>
      </c>
      <c r="Y77" s="7">
        <f t="shared" si="53"/>
        <v>0</v>
      </c>
      <c r="Z77" s="7">
        <f t="shared" si="53"/>
        <v>0</v>
      </c>
      <c r="AA77" s="7">
        <f t="shared" si="53"/>
        <v>0</v>
      </c>
      <c r="AB77" s="7">
        <f t="shared" si="53"/>
        <v>0</v>
      </c>
      <c r="AC77" s="7">
        <f t="shared" si="53"/>
        <v>0</v>
      </c>
      <c r="AD77" s="7">
        <f t="shared" si="53"/>
        <v>0</v>
      </c>
      <c r="AE77" s="7">
        <f t="shared" si="53"/>
        <v>0</v>
      </c>
      <c r="AF77" s="7">
        <f t="shared" si="53"/>
        <v>0</v>
      </c>
      <c r="AG77" s="7">
        <f t="shared" si="53"/>
        <v>0</v>
      </c>
      <c r="AH77" s="7">
        <f t="shared" si="53"/>
        <v>0</v>
      </c>
      <c r="AI77" s="7">
        <f t="shared" si="53"/>
        <v>0</v>
      </c>
      <c r="AJ77" s="7">
        <f t="shared" si="53"/>
        <v>0</v>
      </c>
      <c r="AK77" s="7">
        <f t="shared" si="53"/>
        <v>0</v>
      </c>
      <c r="AL77" s="7">
        <f t="shared" si="53"/>
        <v>0</v>
      </c>
      <c r="AM77" s="7">
        <f t="shared" si="53"/>
        <v>0</v>
      </c>
      <c r="AN77" s="7">
        <f t="shared" si="53"/>
        <v>0</v>
      </c>
      <c r="AO77" s="7">
        <f t="shared" si="53"/>
        <v>0</v>
      </c>
      <c r="AP77" s="7">
        <f t="shared" si="53"/>
        <v>0</v>
      </c>
      <c r="AQ77" s="7">
        <f t="shared" si="53"/>
        <v>0</v>
      </c>
      <c r="AR77" s="7">
        <f t="shared" si="53"/>
        <v>0</v>
      </c>
      <c r="AS77" s="7">
        <f t="shared" si="53"/>
        <v>0</v>
      </c>
      <c r="AT77" s="7">
        <f t="shared" si="53"/>
        <v>0</v>
      </c>
      <c r="AU77" s="7">
        <f t="shared" si="53"/>
        <v>0</v>
      </c>
      <c r="AV77" s="7">
        <f t="shared" si="53"/>
        <v>0</v>
      </c>
      <c r="AW77" s="7">
        <f t="shared" si="53"/>
        <v>0</v>
      </c>
    </row>
    <row r="78" spans="1:61">
      <c r="A78" s="184" t="s">
        <v>206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7"/>
      <c r="X78" s="7"/>
      <c r="Y78" s="7"/>
      <c r="Z78" s="7"/>
      <c r="AA78" s="7"/>
    </row>
    <row r="79" spans="1:61">
      <c r="A79" s="183" t="s">
        <v>202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>
        <f t="shared" ref="N79:Y79" si="54">-$AQ$63*$B$71/12</f>
        <v>1628661.2348243333</v>
      </c>
      <c r="O79" s="214">
        <f t="shared" si="54"/>
        <v>1628661.2348243333</v>
      </c>
      <c r="P79" s="214">
        <f t="shared" si="54"/>
        <v>1628661.2348243333</v>
      </c>
      <c r="Q79" s="214">
        <f t="shared" si="54"/>
        <v>1628661.2348243333</v>
      </c>
      <c r="R79" s="214">
        <f t="shared" si="54"/>
        <v>1628661.2348243333</v>
      </c>
      <c r="S79" s="214">
        <f t="shared" si="54"/>
        <v>1628661.2348243333</v>
      </c>
      <c r="T79" s="214">
        <f t="shared" si="54"/>
        <v>1628661.2348243333</v>
      </c>
      <c r="U79" s="214">
        <f t="shared" si="54"/>
        <v>1628661.2348243333</v>
      </c>
      <c r="V79" s="214">
        <f t="shared" si="54"/>
        <v>1628661.2348243333</v>
      </c>
      <c r="W79" s="7">
        <f t="shared" si="54"/>
        <v>1628661.2348243333</v>
      </c>
      <c r="X79" s="7">
        <f t="shared" si="54"/>
        <v>1628661.2348243333</v>
      </c>
      <c r="Y79" s="7">
        <f t="shared" si="54"/>
        <v>1628661.2348243333</v>
      </c>
      <c r="Z79" s="7">
        <f t="shared" ref="Z79:AK79" si="55">-$AQ$63*$C$71/12</f>
        <v>113328.20080408332</v>
      </c>
      <c r="AA79" s="7">
        <f t="shared" si="55"/>
        <v>113328.20080408332</v>
      </c>
      <c r="AB79" s="7">
        <f t="shared" si="55"/>
        <v>113328.20080408332</v>
      </c>
      <c r="AC79" s="7">
        <f t="shared" si="55"/>
        <v>113328.20080408332</v>
      </c>
      <c r="AD79" s="7">
        <f t="shared" si="55"/>
        <v>113328.20080408332</v>
      </c>
      <c r="AE79" s="7">
        <f t="shared" si="55"/>
        <v>113328.20080408332</v>
      </c>
      <c r="AF79" s="7">
        <f t="shared" si="55"/>
        <v>113328.20080408332</v>
      </c>
      <c r="AG79" s="7">
        <f t="shared" si="55"/>
        <v>113328.20080408332</v>
      </c>
      <c r="AH79" s="7">
        <f t="shared" si="55"/>
        <v>113328.20080408332</v>
      </c>
      <c r="AI79" s="7">
        <f t="shared" si="55"/>
        <v>113328.20080408332</v>
      </c>
      <c r="AJ79" s="7">
        <f t="shared" si="55"/>
        <v>113328.20080408332</v>
      </c>
      <c r="AK79" s="7">
        <f t="shared" si="55"/>
        <v>113328.20080408332</v>
      </c>
      <c r="AL79" s="7">
        <f>-$AQ$63*$D$71/12</f>
        <v>104852.13038383331</v>
      </c>
      <c r="AM79" s="7">
        <f t="shared" ref="AM79:AW79" si="56">-$AQ$63*$D$71/12</f>
        <v>104852.13038383331</v>
      </c>
      <c r="AN79" s="7">
        <f t="shared" si="56"/>
        <v>104852.13038383331</v>
      </c>
      <c r="AO79" s="7">
        <f t="shared" si="56"/>
        <v>104852.13038383331</v>
      </c>
      <c r="AP79" s="7">
        <f t="shared" si="56"/>
        <v>104852.13038383331</v>
      </c>
      <c r="AQ79" s="7">
        <f t="shared" si="56"/>
        <v>104852.13038383331</v>
      </c>
      <c r="AR79" s="7">
        <f t="shared" si="56"/>
        <v>104852.13038383331</v>
      </c>
      <c r="AS79" s="7">
        <f t="shared" si="56"/>
        <v>104852.13038383331</v>
      </c>
      <c r="AT79" s="7">
        <f t="shared" si="56"/>
        <v>104852.13038383331</v>
      </c>
      <c r="AU79" s="7">
        <f t="shared" si="56"/>
        <v>104852.13038383331</v>
      </c>
      <c r="AV79" s="7">
        <f t="shared" si="56"/>
        <v>104852.13038383331</v>
      </c>
      <c r="AW79" s="7">
        <f t="shared" si="56"/>
        <v>104852.13038383331</v>
      </c>
    </row>
    <row r="80" spans="1:61">
      <c r="A80" s="218" t="s">
        <v>314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7"/>
      <c r="X80" s="7"/>
      <c r="Y80" s="7"/>
      <c r="Z80" s="7"/>
      <c r="AA80" s="7"/>
    </row>
    <row r="81" spans="1:49">
      <c r="A81" s="226" t="s">
        <v>316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7"/>
      <c r="X81" s="7"/>
      <c r="Y81" s="7"/>
      <c r="Z81" s="7">
        <f>-$AR$62*$B$73/12</f>
        <v>31406.70600466667</v>
      </c>
      <c r="AA81" s="7">
        <f t="shared" ref="AA81:AJ81" si="57">-$AR$62*$B$73/12</f>
        <v>31406.70600466667</v>
      </c>
      <c r="AB81" s="7">
        <f t="shared" si="57"/>
        <v>31406.70600466667</v>
      </c>
      <c r="AC81" s="7">
        <f t="shared" si="57"/>
        <v>31406.70600466667</v>
      </c>
      <c r="AD81" s="7">
        <f t="shared" si="57"/>
        <v>31406.70600466667</v>
      </c>
      <c r="AE81" s="7">
        <f t="shared" si="57"/>
        <v>31406.70600466667</v>
      </c>
      <c r="AF81" s="7">
        <f t="shared" si="57"/>
        <v>31406.70600466667</v>
      </c>
      <c r="AG81" s="7">
        <f t="shared" si="57"/>
        <v>31406.70600466667</v>
      </c>
      <c r="AH81" s="7">
        <f t="shared" si="57"/>
        <v>31406.70600466667</v>
      </c>
      <c r="AI81" s="7">
        <f t="shared" si="57"/>
        <v>31406.70600466667</v>
      </c>
      <c r="AJ81" s="7">
        <f t="shared" si="57"/>
        <v>31406.70600466667</v>
      </c>
      <c r="AK81" s="7">
        <f>-$AR$62*$B$73/12</f>
        <v>31406.70600466667</v>
      </c>
      <c r="AL81" s="7">
        <f>-$AR$62*$C$73/12</f>
        <v>60307.557806833334</v>
      </c>
      <c r="AM81" s="7">
        <f t="shared" ref="AM81:AW81" si="58">-$AR$62*$C$73/12</f>
        <v>60307.557806833334</v>
      </c>
      <c r="AN81" s="7">
        <f t="shared" si="58"/>
        <v>60307.557806833334</v>
      </c>
      <c r="AO81" s="7">
        <f t="shared" si="58"/>
        <v>60307.557806833334</v>
      </c>
      <c r="AP81" s="7">
        <f>-$AR$62*$C$73/12</f>
        <v>60307.557806833334</v>
      </c>
      <c r="AQ81" s="7">
        <f t="shared" si="58"/>
        <v>60307.557806833334</v>
      </c>
      <c r="AR81" s="7">
        <f t="shared" si="58"/>
        <v>60307.557806833334</v>
      </c>
      <c r="AS81" s="7">
        <f t="shared" si="58"/>
        <v>60307.557806833334</v>
      </c>
      <c r="AT81" s="7">
        <f t="shared" si="58"/>
        <v>60307.557806833334</v>
      </c>
      <c r="AU81" s="7">
        <f t="shared" si="58"/>
        <v>60307.557806833334</v>
      </c>
      <c r="AV81" s="7">
        <f t="shared" si="58"/>
        <v>60307.557806833334</v>
      </c>
      <c r="AW81" s="7">
        <f t="shared" si="58"/>
        <v>60307.557806833334</v>
      </c>
    </row>
    <row r="82" spans="1:49">
      <c r="A82" s="218" t="s">
        <v>303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7">
        <f>-'Exhibit 1.1'!Y72</f>
        <v>174550</v>
      </c>
      <c r="X82" s="7">
        <f>-'Exhibit 1.1'!Z72</f>
        <v>0</v>
      </c>
      <c r="Y82" s="7">
        <f>-'Exhibit 1.1'!AA72</f>
        <v>2247.9300000000003</v>
      </c>
      <c r="Z82" s="7">
        <f>-'Exhibit 1.1'!AB72</f>
        <v>0</v>
      </c>
      <c r="AA82" s="7">
        <f>-'Exhibit 1.1'!AC72</f>
        <v>0</v>
      </c>
      <c r="AB82" s="7">
        <f>-'Exhibit 1.1'!AD72</f>
        <v>6534.51</v>
      </c>
      <c r="AC82" s="7">
        <f>-'Exhibit 1.1'!AE72</f>
        <v>1433.04</v>
      </c>
      <c r="AD82" s="7">
        <f>-'Exhibit 1.1'!AF72</f>
        <v>0</v>
      </c>
      <c r="AE82" s="7">
        <f>-'Exhibit 1.1'!AG72</f>
        <v>0</v>
      </c>
      <c r="AF82" s="7">
        <f>-'Exhibit 1.1'!AH72</f>
        <v>0</v>
      </c>
      <c r="AG82" s="7">
        <f>-'Exhibit 1.1'!AI72</f>
        <v>0</v>
      </c>
      <c r="AH82" s="7">
        <f>-'Exhibit 1.1'!AJ72</f>
        <v>0</v>
      </c>
      <c r="AI82" s="7">
        <f>-'Exhibit 1.1'!AK72</f>
        <v>0</v>
      </c>
      <c r="AJ82" s="7">
        <f>-'Exhibit 1.1'!AL72</f>
        <v>0</v>
      </c>
      <c r="AK82" s="7">
        <f>-'Exhibit 1.1'!AM72</f>
        <v>0</v>
      </c>
      <c r="AL82" s="7">
        <f>-'Exhibit 1.1'!AN72</f>
        <v>0</v>
      </c>
      <c r="AM82" s="7">
        <f>-'Exhibit 1.1'!AO72</f>
        <v>0</v>
      </c>
      <c r="AN82" s="7">
        <f>-'Exhibit 1.1'!AP72</f>
        <v>0</v>
      </c>
      <c r="AO82" s="7">
        <f>-'Exhibit 1.1'!AQ72</f>
        <v>0</v>
      </c>
      <c r="AP82" s="7">
        <f>-'Exhibit 1.1'!AR72</f>
        <v>0</v>
      </c>
      <c r="AQ82" s="7">
        <f>-'Exhibit 1.1'!AS72</f>
        <v>0</v>
      </c>
      <c r="AR82" s="7">
        <f>-'Exhibit 1.1'!AT72</f>
        <v>0</v>
      </c>
      <c r="AS82" s="7">
        <f>-'Exhibit 1.1'!AU72</f>
        <v>0</v>
      </c>
      <c r="AT82" s="7">
        <f>-'Exhibit 1.1'!AV72</f>
        <v>0</v>
      </c>
      <c r="AU82" s="7">
        <f>-'Exhibit 1.1'!AW72</f>
        <v>0</v>
      </c>
      <c r="AV82" s="7">
        <f>-'Exhibit 1.1'!AX72</f>
        <v>0</v>
      </c>
      <c r="AW82" s="7">
        <f>-'Exhibit 1.1'!AY72</f>
        <v>0</v>
      </c>
    </row>
    <row r="83" spans="1:49">
      <c r="A83" s="180" t="s">
        <v>156</v>
      </c>
      <c r="B83" s="215">
        <f t="shared" ref="B83:V83" si="59">SUM(B76:B79)</f>
        <v>0</v>
      </c>
      <c r="C83" s="215">
        <f t="shared" si="59"/>
        <v>0</v>
      </c>
      <c r="D83" s="215">
        <f t="shared" si="59"/>
        <v>0</v>
      </c>
      <c r="E83" s="215">
        <f t="shared" si="59"/>
        <v>0</v>
      </c>
      <c r="F83" s="215">
        <f t="shared" si="59"/>
        <v>0</v>
      </c>
      <c r="G83" s="215">
        <f t="shared" si="59"/>
        <v>0</v>
      </c>
      <c r="H83" s="215">
        <f t="shared" si="59"/>
        <v>0</v>
      </c>
      <c r="I83" s="215">
        <f t="shared" si="59"/>
        <v>0</v>
      </c>
      <c r="J83" s="215">
        <f t="shared" si="59"/>
        <v>0</v>
      </c>
      <c r="K83" s="215">
        <f t="shared" si="59"/>
        <v>0</v>
      </c>
      <c r="L83" s="215">
        <f t="shared" si="59"/>
        <v>0</v>
      </c>
      <c r="M83" s="215">
        <f t="shared" si="59"/>
        <v>0</v>
      </c>
      <c r="N83" s="215">
        <f t="shared" si="59"/>
        <v>1628661.2348243333</v>
      </c>
      <c r="O83" s="215">
        <f t="shared" si="59"/>
        <v>1628661.2348243333</v>
      </c>
      <c r="P83" s="215">
        <f t="shared" si="59"/>
        <v>1628661.2348243333</v>
      </c>
      <c r="Q83" s="215">
        <f t="shared" si="59"/>
        <v>1628661.2348243333</v>
      </c>
      <c r="R83" s="215">
        <f t="shared" si="59"/>
        <v>1628661.2348243333</v>
      </c>
      <c r="S83" s="215">
        <f t="shared" si="59"/>
        <v>1628661.2348243333</v>
      </c>
      <c r="T83" s="215">
        <f t="shared" si="59"/>
        <v>1628661.2348243333</v>
      </c>
      <c r="U83" s="215">
        <f t="shared" si="59"/>
        <v>1628661.2348243333</v>
      </c>
      <c r="V83" s="215">
        <f t="shared" si="59"/>
        <v>1628661.2348243333</v>
      </c>
      <c r="W83" s="15">
        <f>SUM(W76:W82)</f>
        <v>1803211.2348243333</v>
      </c>
      <c r="X83" s="15">
        <f t="shared" ref="X83:AK83" si="60">SUM(X76:X82)</f>
        <v>1628661.2348243333</v>
      </c>
      <c r="Y83" s="15">
        <f t="shared" si="60"/>
        <v>1630909.1648243333</v>
      </c>
      <c r="Z83" s="15">
        <f t="shared" si="60"/>
        <v>144734.90680874998</v>
      </c>
      <c r="AA83" s="15">
        <f t="shared" si="60"/>
        <v>144734.90680874998</v>
      </c>
      <c r="AB83" s="15">
        <f t="shared" si="60"/>
        <v>151269.41680874999</v>
      </c>
      <c r="AC83" s="15">
        <f t="shared" si="60"/>
        <v>146167.94680874998</v>
      </c>
      <c r="AD83" s="15">
        <f t="shared" si="60"/>
        <v>144734.90680874998</v>
      </c>
      <c r="AE83" s="15">
        <f t="shared" si="60"/>
        <v>144734.90680874998</v>
      </c>
      <c r="AF83" s="15">
        <f t="shared" si="60"/>
        <v>144734.90680874998</v>
      </c>
      <c r="AG83" s="15">
        <f t="shared" si="60"/>
        <v>144734.90680874998</v>
      </c>
      <c r="AH83" s="15">
        <f t="shared" si="60"/>
        <v>144734.90680874998</v>
      </c>
      <c r="AI83" s="15">
        <f t="shared" si="60"/>
        <v>144734.90680874998</v>
      </c>
      <c r="AJ83" s="15">
        <f t="shared" si="60"/>
        <v>144734.90680874998</v>
      </c>
      <c r="AK83" s="15">
        <f t="shared" si="60"/>
        <v>144734.90680874998</v>
      </c>
      <c r="AL83" s="15">
        <f t="shared" ref="AL83:AW83" si="61">SUM(AL76:AL82)</f>
        <v>165159.68819066664</v>
      </c>
      <c r="AM83" s="15">
        <f t="shared" si="61"/>
        <v>165159.68819066664</v>
      </c>
      <c r="AN83" s="15">
        <f t="shared" si="61"/>
        <v>165159.68819066664</v>
      </c>
      <c r="AO83" s="15">
        <f t="shared" si="61"/>
        <v>165159.68819066664</v>
      </c>
      <c r="AP83" s="15">
        <f t="shared" si="61"/>
        <v>165159.68819066664</v>
      </c>
      <c r="AQ83" s="15">
        <f t="shared" si="61"/>
        <v>165159.68819066664</v>
      </c>
      <c r="AR83" s="15">
        <f t="shared" si="61"/>
        <v>165159.68819066664</v>
      </c>
      <c r="AS83" s="15">
        <f t="shared" si="61"/>
        <v>165159.68819066664</v>
      </c>
      <c r="AT83" s="15">
        <f t="shared" si="61"/>
        <v>165159.68819066664</v>
      </c>
      <c r="AU83" s="15">
        <f t="shared" si="61"/>
        <v>165159.68819066664</v>
      </c>
      <c r="AV83" s="15">
        <f t="shared" si="61"/>
        <v>165159.68819066664</v>
      </c>
      <c r="AW83" s="15">
        <f t="shared" si="61"/>
        <v>165159.68819066664</v>
      </c>
    </row>
    <row r="84" spans="1:49">
      <c r="A84" s="16" t="s">
        <v>38</v>
      </c>
      <c r="B84" s="214">
        <f>'Exhibit 1.1'!D79</f>
        <v>0</v>
      </c>
      <c r="C84" s="214">
        <f>'Exhibit 1.1'!E79</f>
        <v>0</v>
      </c>
      <c r="D84" s="214">
        <f>'Exhibit 1.1'!F79</f>
        <v>0</v>
      </c>
      <c r="E84" s="214">
        <f>'Exhibit 1.1'!G79</f>
        <v>0</v>
      </c>
      <c r="F84" s="214">
        <f>'Exhibit 1.1'!H79</f>
        <v>0</v>
      </c>
      <c r="G84" s="214">
        <f>'Exhibit 1.1'!I79</f>
        <v>0</v>
      </c>
      <c r="H84" s="214">
        <f>'Exhibit 1.1'!J79</f>
        <v>0</v>
      </c>
      <c r="I84" s="214">
        <f>'Exhibit 1.1'!K79</f>
        <v>0</v>
      </c>
      <c r="J84" s="214">
        <f>'Exhibit 1.1'!L79</f>
        <v>0</v>
      </c>
      <c r="K84" s="214">
        <f>'Exhibit 1.1'!M79</f>
        <v>0</v>
      </c>
      <c r="L84" s="214">
        <f>'Exhibit 1.1'!N79</f>
        <v>0</v>
      </c>
      <c r="M84" s="214">
        <f>'Exhibit 1.1'!O79</f>
        <v>0</v>
      </c>
      <c r="N84" s="214">
        <f>'Exhibit 1.1'!P79</f>
        <v>0</v>
      </c>
      <c r="O84" s="214">
        <f>'Exhibit 1.1'!Q79</f>
        <v>0</v>
      </c>
      <c r="P84" s="214">
        <f>'Exhibit 1.1'!R79</f>
        <v>0</v>
      </c>
      <c r="Q84" s="214">
        <f>'Exhibit 1.1'!S79</f>
        <v>0</v>
      </c>
      <c r="R84" s="214">
        <f>'Exhibit 1.1'!T79</f>
        <v>0</v>
      </c>
      <c r="S84" s="214">
        <f>'Exhibit 1.1'!U79</f>
        <v>0</v>
      </c>
      <c r="T84" s="214">
        <f>'Exhibit 1.1'!V79</f>
        <v>0</v>
      </c>
      <c r="U84" s="214">
        <f>'Exhibit 1.1'!W79</f>
        <v>0</v>
      </c>
      <c r="V84" s="214">
        <f>'Exhibit 1.1'!X79</f>
        <v>0</v>
      </c>
      <c r="W84" s="7">
        <f>'Exhibit 1.1'!Y79</f>
        <v>55543.939216333332</v>
      </c>
      <c r="X84" s="7">
        <f>'Exhibit 1.1'!Z79</f>
        <v>59890.715437499995</v>
      </c>
      <c r="Y84" s="7">
        <f>'Exhibit 1.1'!AA79</f>
        <v>61628.311174999995</v>
      </c>
      <c r="Z84" s="7">
        <f>'Exhibit 1.1'!AB79</f>
        <v>62109.535418166655</v>
      </c>
      <c r="AA84" s="7">
        <f>'Exhibit 1.1'!AC79</f>
        <v>62088.326662833329</v>
      </c>
      <c r="AB84" s="7">
        <f>'Exhibit 1.1'!AD79</f>
        <v>62101.463890999999</v>
      </c>
      <c r="AC84" s="7">
        <f>'Exhibit 1.1'!AE79</f>
        <v>63473.861833999988</v>
      </c>
      <c r="AD84" s="7">
        <f>'Exhibit 1.1'!AF79</f>
        <v>63503.57826633333</v>
      </c>
      <c r="AE84" s="7">
        <f>'Exhibit 1.1'!AG79</f>
        <v>65703.925481666665</v>
      </c>
      <c r="AF84" s="7">
        <f>'Exhibit 1.1'!AH79</f>
        <v>67768.547298666672</v>
      </c>
      <c r="AG84" s="7">
        <f>'Exhibit 1.1'!AI79</f>
        <v>78989.844236666657</v>
      </c>
      <c r="AH84" s="7">
        <f>'Exhibit 1.1'!AJ79</f>
        <v>78989.844236666657</v>
      </c>
      <c r="AI84" s="7">
        <f>'Exhibit 1.1'!AK79</f>
        <v>78989.844236666657</v>
      </c>
      <c r="AJ84" s="7">
        <f>'Exhibit 1.1'!AL79</f>
        <v>78989.844236666657</v>
      </c>
      <c r="AK84" s="7">
        <f>'Exhibit 1.1'!AM79</f>
        <v>78989.844236666657</v>
      </c>
      <c r="AL84" s="7">
        <f>'Exhibit 1.1'!AN79</f>
        <v>78989.844236666657</v>
      </c>
      <c r="AM84" s="7">
        <f>'Exhibit 1.1'!AO79</f>
        <v>78989.844236666657</v>
      </c>
      <c r="AN84" s="7">
        <f>'Exhibit 1.1'!AP79</f>
        <v>78989.844236666657</v>
      </c>
      <c r="AO84" s="7">
        <f>'Exhibit 1.1'!AQ79</f>
        <v>78989.844236666657</v>
      </c>
      <c r="AP84" s="7">
        <f>'Exhibit 1.1'!AR79</f>
        <v>78989.844236666657</v>
      </c>
      <c r="AQ84" s="7">
        <f>'Exhibit 1.1'!AS79</f>
        <v>78989.844236666657</v>
      </c>
      <c r="AR84" s="7">
        <f>'Exhibit 1.1'!AT79</f>
        <v>78989.844236666657</v>
      </c>
      <c r="AS84" s="7">
        <f>'Exhibit 1.1'!AU79</f>
        <v>78989.844236666657</v>
      </c>
      <c r="AT84" s="7">
        <f>'Exhibit 1.1'!AV79</f>
        <v>78989.844236666657</v>
      </c>
      <c r="AU84" s="7">
        <f>'Exhibit 1.1'!AW79</f>
        <v>78989.844236666657</v>
      </c>
      <c r="AV84" s="7">
        <f>'Exhibit 1.1'!AX79</f>
        <v>78989.844236666657</v>
      </c>
      <c r="AW84" s="7">
        <f>'Exhibit 1.1'!AY79</f>
        <v>78989.844236666657</v>
      </c>
    </row>
    <row r="85" spans="1:49">
      <c r="A85" t="s">
        <v>177</v>
      </c>
      <c r="B85" s="214">
        <f t="shared" ref="B85:M85" si="62">B83-B84</f>
        <v>0</v>
      </c>
      <c r="C85" s="214">
        <f t="shared" si="62"/>
        <v>0</v>
      </c>
      <c r="D85" s="214">
        <f t="shared" si="62"/>
        <v>0</v>
      </c>
      <c r="E85" s="214">
        <f t="shared" si="62"/>
        <v>0</v>
      </c>
      <c r="F85" s="214">
        <f t="shared" si="62"/>
        <v>0</v>
      </c>
      <c r="G85" s="214">
        <f t="shared" si="62"/>
        <v>0</v>
      </c>
      <c r="H85" s="214">
        <f t="shared" si="62"/>
        <v>0</v>
      </c>
      <c r="I85" s="214">
        <f t="shared" si="62"/>
        <v>0</v>
      </c>
      <c r="J85" s="214">
        <f t="shared" si="62"/>
        <v>0</v>
      </c>
      <c r="K85" s="214">
        <f t="shared" si="62"/>
        <v>0</v>
      </c>
      <c r="L85" s="214">
        <f t="shared" si="62"/>
        <v>0</v>
      </c>
      <c r="M85" s="214">
        <f t="shared" si="62"/>
        <v>0</v>
      </c>
      <c r="N85" s="214">
        <f t="shared" ref="N85:Y85" si="63">N83-N84</f>
        <v>1628661.2348243333</v>
      </c>
      <c r="O85" s="214">
        <f t="shared" si="63"/>
        <v>1628661.2348243333</v>
      </c>
      <c r="P85" s="214">
        <f t="shared" si="63"/>
        <v>1628661.2348243333</v>
      </c>
      <c r="Q85" s="214">
        <f t="shared" si="63"/>
        <v>1628661.2348243333</v>
      </c>
      <c r="R85" s="214">
        <f t="shared" si="63"/>
        <v>1628661.2348243333</v>
      </c>
      <c r="S85" s="214">
        <f t="shared" si="63"/>
        <v>1628661.2348243333</v>
      </c>
      <c r="T85" s="214">
        <f t="shared" si="63"/>
        <v>1628661.2348243333</v>
      </c>
      <c r="U85" s="214">
        <f t="shared" si="63"/>
        <v>1628661.2348243333</v>
      </c>
      <c r="V85" s="214">
        <f t="shared" si="63"/>
        <v>1628661.2348243333</v>
      </c>
      <c r="W85" s="7">
        <f t="shared" si="63"/>
        <v>1747667.2956079999</v>
      </c>
      <c r="X85" s="7">
        <f t="shared" si="63"/>
        <v>1568770.5193868333</v>
      </c>
      <c r="Y85" s="7">
        <f t="shared" si="63"/>
        <v>1569280.8536493334</v>
      </c>
      <c r="Z85" s="7">
        <f t="shared" ref="Z85:AK85" si="64">Z83-Z84</f>
        <v>82625.371390583314</v>
      </c>
      <c r="AA85" s="7">
        <f t="shared" si="64"/>
        <v>82646.58014591664</v>
      </c>
      <c r="AB85" s="7">
        <f t="shared" si="64"/>
        <v>89167.952917749994</v>
      </c>
      <c r="AC85" s="7">
        <f t="shared" si="64"/>
        <v>82694.084974750003</v>
      </c>
      <c r="AD85" s="7">
        <f t="shared" si="64"/>
        <v>81231.328542416653</v>
      </c>
      <c r="AE85" s="7">
        <f t="shared" si="64"/>
        <v>79030.981327083311</v>
      </c>
      <c r="AF85" s="7">
        <f t="shared" si="64"/>
        <v>76966.359510083304</v>
      </c>
      <c r="AG85" s="7">
        <f t="shared" si="64"/>
        <v>65745.06257208332</v>
      </c>
      <c r="AH85" s="7">
        <f t="shared" si="64"/>
        <v>65745.06257208332</v>
      </c>
      <c r="AI85" s="7">
        <f t="shared" si="64"/>
        <v>65745.06257208332</v>
      </c>
      <c r="AJ85" s="7">
        <f t="shared" si="64"/>
        <v>65745.06257208332</v>
      </c>
      <c r="AK85" s="7">
        <f t="shared" si="64"/>
        <v>65745.06257208332</v>
      </c>
      <c r="AL85" s="7">
        <f t="shared" ref="AL85:AW85" si="65">AL83-AL84</f>
        <v>86169.843953999982</v>
      </c>
      <c r="AM85" s="7">
        <f t="shared" si="65"/>
        <v>86169.843953999982</v>
      </c>
      <c r="AN85" s="7">
        <f t="shared" si="65"/>
        <v>86169.843953999982</v>
      </c>
      <c r="AO85" s="7">
        <f t="shared" si="65"/>
        <v>86169.843953999982</v>
      </c>
      <c r="AP85" s="7">
        <f t="shared" si="65"/>
        <v>86169.843953999982</v>
      </c>
      <c r="AQ85" s="7">
        <f t="shared" si="65"/>
        <v>86169.843953999982</v>
      </c>
      <c r="AR85" s="7">
        <f t="shared" si="65"/>
        <v>86169.843953999982</v>
      </c>
      <c r="AS85" s="7">
        <f t="shared" si="65"/>
        <v>86169.843953999982</v>
      </c>
      <c r="AT85" s="7">
        <f t="shared" si="65"/>
        <v>86169.843953999982</v>
      </c>
      <c r="AU85" s="7">
        <f t="shared" si="65"/>
        <v>86169.843953999982</v>
      </c>
      <c r="AV85" s="7">
        <f t="shared" si="65"/>
        <v>86169.843953999982</v>
      </c>
      <c r="AW85" s="7">
        <f t="shared" si="65"/>
        <v>86169.843953999982</v>
      </c>
    </row>
    <row r="86" spans="1:49">
      <c r="A86" t="s">
        <v>178</v>
      </c>
      <c r="B86" s="214">
        <v>0.38</v>
      </c>
      <c r="C86" s="214">
        <v>0.38</v>
      </c>
      <c r="D86" s="214">
        <v>0.38</v>
      </c>
      <c r="E86" s="214">
        <v>0.38</v>
      </c>
      <c r="F86" s="214">
        <v>0.38</v>
      </c>
      <c r="G86" s="214">
        <v>0.38</v>
      </c>
      <c r="H86" s="214">
        <v>0.38</v>
      </c>
      <c r="I86" s="214">
        <v>0.38</v>
      </c>
      <c r="J86" s="214">
        <v>0.38</v>
      </c>
      <c r="K86" s="214">
        <v>0.38</v>
      </c>
      <c r="L86" s="214">
        <v>0.38</v>
      </c>
      <c r="M86" s="214">
        <v>0.38</v>
      </c>
      <c r="N86" s="214">
        <v>0.38</v>
      </c>
      <c r="O86" s="214">
        <v>0.38</v>
      </c>
      <c r="P86" s="214">
        <v>0.38</v>
      </c>
      <c r="Q86" s="214">
        <v>0.38</v>
      </c>
      <c r="R86" s="214">
        <v>0.38</v>
      </c>
      <c r="S86" s="214">
        <v>0.38</v>
      </c>
      <c r="T86" s="214">
        <v>0.38</v>
      </c>
      <c r="U86" s="214">
        <v>0.38</v>
      </c>
      <c r="V86" s="214">
        <v>0.38</v>
      </c>
      <c r="W86" s="7">
        <v>0.38</v>
      </c>
      <c r="X86" s="7">
        <v>0.38</v>
      </c>
      <c r="Y86" s="7">
        <v>0.38</v>
      </c>
      <c r="Z86" s="7">
        <v>0.38</v>
      </c>
      <c r="AA86" s="7">
        <v>0.38</v>
      </c>
      <c r="AB86" s="7">
        <v>0.38</v>
      </c>
      <c r="AC86" s="7">
        <v>0.38</v>
      </c>
      <c r="AD86" s="7">
        <v>0.38</v>
      </c>
      <c r="AE86" s="7">
        <v>0.38</v>
      </c>
      <c r="AF86" s="7">
        <v>0.38</v>
      </c>
      <c r="AG86" s="7">
        <v>0.38</v>
      </c>
      <c r="AH86" s="7">
        <v>0.38</v>
      </c>
      <c r="AI86" s="7">
        <v>0.38</v>
      </c>
      <c r="AJ86" s="7">
        <v>0.38</v>
      </c>
      <c r="AK86" s="7">
        <v>0.38</v>
      </c>
      <c r="AL86" s="7">
        <v>0.38</v>
      </c>
      <c r="AM86" s="7">
        <v>0.38</v>
      </c>
      <c r="AN86" s="7">
        <v>0.38</v>
      </c>
      <c r="AO86" s="7">
        <v>0.38</v>
      </c>
      <c r="AP86" s="7">
        <v>0.38</v>
      </c>
      <c r="AQ86" s="7">
        <v>0.38</v>
      </c>
      <c r="AR86" s="7">
        <v>0.38</v>
      </c>
      <c r="AS86" s="7">
        <v>0.38</v>
      </c>
      <c r="AT86" s="7">
        <v>0.38</v>
      </c>
      <c r="AU86" s="7">
        <v>0.38</v>
      </c>
      <c r="AV86" s="7">
        <v>0.38</v>
      </c>
      <c r="AW86" s="7">
        <v>0.38</v>
      </c>
    </row>
    <row r="87" spans="1:49">
      <c r="A87" t="s">
        <v>179</v>
      </c>
      <c r="B87" s="214">
        <f>B85*B86</f>
        <v>0</v>
      </c>
      <c r="C87" s="214">
        <f t="shared" ref="C87:M87" si="66">C85*C86</f>
        <v>0</v>
      </c>
      <c r="D87" s="214">
        <f t="shared" si="66"/>
        <v>0</v>
      </c>
      <c r="E87" s="214">
        <f t="shared" si="66"/>
        <v>0</v>
      </c>
      <c r="F87" s="214">
        <f t="shared" si="66"/>
        <v>0</v>
      </c>
      <c r="G87" s="214">
        <f t="shared" si="66"/>
        <v>0</v>
      </c>
      <c r="H87" s="214">
        <f t="shared" si="66"/>
        <v>0</v>
      </c>
      <c r="I87" s="214">
        <f t="shared" si="66"/>
        <v>0</v>
      </c>
      <c r="J87" s="214">
        <f t="shared" si="66"/>
        <v>0</v>
      </c>
      <c r="K87" s="214">
        <f t="shared" si="66"/>
        <v>0</v>
      </c>
      <c r="L87" s="214">
        <f t="shared" si="66"/>
        <v>0</v>
      </c>
      <c r="M87" s="214">
        <f t="shared" si="66"/>
        <v>0</v>
      </c>
      <c r="N87" s="214">
        <f t="shared" ref="N87:Y87" si="67">N85*N86</f>
        <v>618891.26923324668</v>
      </c>
      <c r="O87" s="214">
        <f t="shared" si="67"/>
        <v>618891.26923324668</v>
      </c>
      <c r="P87" s="214">
        <f t="shared" si="67"/>
        <v>618891.26923324668</v>
      </c>
      <c r="Q87" s="214">
        <f t="shared" si="67"/>
        <v>618891.26923324668</v>
      </c>
      <c r="R87" s="214">
        <f t="shared" si="67"/>
        <v>618891.26923324668</v>
      </c>
      <c r="S87" s="214">
        <f t="shared" si="67"/>
        <v>618891.26923324668</v>
      </c>
      <c r="T87" s="214">
        <f t="shared" si="67"/>
        <v>618891.26923324668</v>
      </c>
      <c r="U87" s="214">
        <f t="shared" si="67"/>
        <v>618891.26923324668</v>
      </c>
      <c r="V87" s="214">
        <f t="shared" si="67"/>
        <v>618891.26923324668</v>
      </c>
      <c r="W87" s="7">
        <f t="shared" si="67"/>
        <v>664113.57233103993</v>
      </c>
      <c r="X87" s="7">
        <f t="shared" si="67"/>
        <v>596132.79736699664</v>
      </c>
      <c r="Y87" s="7">
        <f t="shared" si="67"/>
        <v>596326.72438674665</v>
      </c>
      <c r="Z87" s="7">
        <f t="shared" ref="Z87:AK87" si="68">Z85*Z86</f>
        <v>31397.641128421659</v>
      </c>
      <c r="AA87" s="7">
        <f t="shared" si="68"/>
        <v>31405.700455448325</v>
      </c>
      <c r="AB87" s="7">
        <f t="shared" si="68"/>
        <v>33883.822108745</v>
      </c>
      <c r="AC87" s="7">
        <f t="shared" si="68"/>
        <v>31423.752290405002</v>
      </c>
      <c r="AD87" s="7">
        <f t="shared" si="68"/>
        <v>30867.90484611833</v>
      </c>
      <c r="AE87" s="7">
        <f t="shared" si="68"/>
        <v>30031.772904291658</v>
      </c>
      <c r="AF87" s="7">
        <f t="shared" si="68"/>
        <v>29247.216613831657</v>
      </c>
      <c r="AG87" s="7">
        <f t="shared" si="68"/>
        <v>24983.123777391662</v>
      </c>
      <c r="AH87" s="7">
        <f t="shared" si="68"/>
        <v>24983.123777391662</v>
      </c>
      <c r="AI87" s="7">
        <f t="shared" si="68"/>
        <v>24983.123777391662</v>
      </c>
      <c r="AJ87" s="7">
        <f t="shared" si="68"/>
        <v>24983.123777391662</v>
      </c>
      <c r="AK87" s="7">
        <f t="shared" si="68"/>
        <v>24983.123777391662</v>
      </c>
      <c r="AL87" s="7">
        <f t="shared" ref="AL87:AW87" si="69">AL85*AL86</f>
        <v>32744.540702519993</v>
      </c>
      <c r="AM87" s="7">
        <f t="shared" si="69"/>
        <v>32744.540702519993</v>
      </c>
      <c r="AN87" s="7">
        <f t="shared" si="69"/>
        <v>32744.540702519993</v>
      </c>
      <c r="AO87" s="7">
        <f t="shared" si="69"/>
        <v>32744.540702519993</v>
      </c>
      <c r="AP87" s="7">
        <f t="shared" si="69"/>
        <v>32744.540702519993</v>
      </c>
      <c r="AQ87" s="7">
        <f t="shared" si="69"/>
        <v>32744.540702519993</v>
      </c>
      <c r="AR87" s="7">
        <f t="shared" si="69"/>
        <v>32744.540702519993</v>
      </c>
      <c r="AS87" s="7">
        <f t="shared" si="69"/>
        <v>32744.540702519993</v>
      </c>
      <c r="AT87" s="7">
        <f t="shared" si="69"/>
        <v>32744.540702519993</v>
      </c>
      <c r="AU87" s="7">
        <f t="shared" si="69"/>
        <v>32744.540702519993</v>
      </c>
      <c r="AV87" s="7">
        <f t="shared" si="69"/>
        <v>32744.540702519993</v>
      </c>
      <c r="AW87" s="7">
        <f t="shared" si="69"/>
        <v>32744.540702519993</v>
      </c>
    </row>
    <row r="88" spans="1:49">
      <c r="A88" t="s">
        <v>43</v>
      </c>
      <c r="B88" s="214">
        <f>B87</f>
        <v>0</v>
      </c>
      <c r="C88" s="214">
        <f t="shared" ref="C88" si="70">B88+C87</f>
        <v>0</v>
      </c>
      <c r="D88" s="214">
        <f t="shared" ref="D88" si="71">C88+D87</f>
        <v>0</v>
      </c>
      <c r="E88" s="214">
        <f t="shared" ref="E88" si="72">D88+E87</f>
        <v>0</v>
      </c>
      <c r="F88" s="214">
        <f t="shared" ref="F88" si="73">E88+F87</f>
        <v>0</v>
      </c>
      <c r="G88" s="214">
        <f t="shared" ref="G88" si="74">F88+G87</f>
        <v>0</v>
      </c>
      <c r="H88" s="214">
        <f t="shared" ref="H88" si="75">G88+H87</f>
        <v>0</v>
      </c>
      <c r="I88" s="214">
        <f t="shared" ref="I88" si="76">H88+I87</f>
        <v>0</v>
      </c>
      <c r="J88" s="214">
        <f t="shared" ref="J88" si="77">I88+J87</f>
        <v>0</v>
      </c>
      <c r="K88" s="214">
        <f t="shared" ref="K88" si="78">J88+K87</f>
        <v>0</v>
      </c>
      <c r="L88" s="214">
        <f t="shared" ref="L88" si="79">K88+L87</f>
        <v>0</v>
      </c>
      <c r="M88" s="214">
        <f t="shared" ref="M88" si="80">L88+M87</f>
        <v>0</v>
      </c>
      <c r="N88" s="214">
        <f t="shared" ref="N88" si="81">M88+N87</f>
        <v>618891.26923324668</v>
      </c>
      <c r="O88" s="214">
        <f t="shared" ref="O88" si="82">N88+O87</f>
        <v>1237782.5384664934</v>
      </c>
      <c r="P88" s="214">
        <f t="shared" ref="P88" si="83">O88+P87</f>
        <v>1856673.8076997399</v>
      </c>
      <c r="Q88" s="214">
        <f t="shared" ref="Q88" si="84">P88+Q87</f>
        <v>2475565.0769329867</v>
      </c>
      <c r="R88" s="214">
        <f t="shared" ref="R88" si="85">Q88+R87</f>
        <v>3094456.3461662335</v>
      </c>
      <c r="S88" s="214">
        <f t="shared" ref="S88" si="86">R88+S87</f>
        <v>3713347.6153994803</v>
      </c>
      <c r="T88" s="214">
        <f t="shared" ref="T88" si="87">S88+T87</f>
        <v>4332238.8846327271</v>
      </c>
      <c r="U88" s="214">
        <f t="shared" ref="U88" si="88">T88+U87</f>
        <v>4951130.1538659735</v>
      </c>
      <c r="V88" s="214">
        <f t="shared" ref="V88" si="89">U88+V87</f>
        <v>5570021.4230992198</v>
      </c>
      <c r="W88" s="7">
        <f t="shared" ref="W88" si="90">V88+W87</f>
        <v>6234134.99543026</v>
      </c>
      <c r="X88" s="7">
        <f t="shared" ref="X88" si="91">W88+X87</f>
        <v>6830267.7927972563</v>
      </c>
      <c r="Y88" s="7">
        <f t="shared" ref="Y88" si="92">X88+Y87</f>
        <v>7426594.5171840033</v>
      </c>
      <c r="Z88" s="7">
        <f t="shared" ref="Z88" si="93">Y88+Z87</f>
        <v>7457992.158312425</v>
      </c>
      <c r="AA88" s="7">
        <f t="shared" ref="AA88" si="94">Z88+AA87</f>
        <v>7489397.8587678736</v>
      </c>
      <c r="AB88" s="7">
        <f t="shared" ref="AB88" si="95">AA88+AB87</f>
        <v>7523281.6808766183</v>
      </c>
      <c r="AC88" s="7">
        <f t="shared" ref="AC88" si="96">AB88+AC87</f>
        <v>7554705.4331670236</v>
      </c>
      <c r="AD88" s="7">
        <f t="shared" ref="AD88" si="97">AC88+AD87</f>
        <v>7585573.3380131423</v>
      </c>
      <c r="AE88" s="7">
        <f t="shared" ref="AE88" si="98">AD88+AE87</f>
        <v>7615605.1109174341</v>
      </c>
      <c r="AF88" s="7">
        <f t="shared" ref="AF88" si="99">AE88+AF87</f>
        <v>7644852.327531266</v>
      </c>
      <c r="AG88" s="7">
        <f t="shared" ref="AG88" si="100">AF88+AG87</f>
        <v>7669835.4513086574</v>
      </c>
      <c r="AH88" s="7">
        <f t="shared" ref="AH88" si="101">AG88+AH87</f>
        <v>7694818.5750860488</v>
      </c>
      <c r="AI88" s="7">
        <f t="shared" ref="AI88" si="102">AH88+AI87</f>
        <v>7719801.6988634402</v>
      </c>
      <c r="AJ88" s="7">
        <f t="shared" ref="AJ88" si="103">AI88+AJ87</f>
        <v>7744784.8226408316</v>
      </c>
      <c r="AK88" s="7">
        <f t="shared" ref="AK88" si="104">AJ88+AK87</f>
        <v>7769767.946418223</v>
      </c>
      <c r="AL88" s="7">
        <f t="shared" ref="AL88" si="105">AK88+AL87</f>
        <v>7802512.4871207429</v>
      </c>
      <c r="AM88" s="7">
        <f t="shared" ref="AM88" si="106">AL88+AM87</f>
        <v>7835257.0278232628</v>
      </c>
      <c r="AN88" s="7">
        <f t="shared" ref="AN88" si="107">AM88+AN87</f>
        <v>7868001.5685257828</v>
      </c>
      <c r="AO88" s="7">
        <f t="shared" ref="AO88" si="108">AN88+AO87</f>
        <v>7900746.1092283027</v>
      </c>
      <c r="AP88" s="7">
        <f t="shared" ref="AP88" si="109">AO88+AP87</f>
        <v>7933490.6499308227</v>
      </c>
      <c r="AQ88" s="7">
        <f t="shared" ref="AQ88" si="110">AP88+AQ87</f>
        <v>7966235.1906333426</v>
      </c>
      <c r="AR88" s="7">
        <f t="shared" ref="AR88" si="111">AQ88+AR87</f>
        <v>7998979.7313358625</v>
      </c>
      <c r="AS88" s="7">
        <f t="shared" ref="AS88" si="112">AR88+AS87</f>
        <v>8031724.2720383825</v>
      </c>
      <c r="AT88" s="7">
        <f t="shared" ref="AT88" si="113">AS88+AT87</f>
        <v>8064468.8127409024</v>
      </c>
      <c r="AU88" s="7">
        <f t="shared" ref="AU88" si="114">AT88+AU87</f>
        <v>8097213.3534434224</v>
      </c>
      <c r="AV88" s="7">
        <f t="shared" ref="AV88" si="115">AU88+AV87</f>
        <v>8129957.8941459423</v>
      </c>
      <c r="AW88" s="7">
        <f t="shared" ref="AW88" si="116">AV88+AW87</f>
        <v>8162702.4348484622</v>
      </c>
    </row>
    <row r="89" spans="1:49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49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49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49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06"/>
      <c r="X92" s="7"/>
      <c r="Y92" s="7"/>
      <c r="Z92" s="7"/>
      <c r="AA92" s="7"/>
    </row>
    <row r="93" spans="1:49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49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49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49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</sheetData>
  <sortState ref="A49:BS82">
    <sortCondition ref="A49:A82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91"/>
  <sheetViews>
    <sheetView topLeftCell="Q55" workbookViewId="0">
      <selection activeCell="U90" sqref="U90"/>
    </sheetView>
  </sheetViews>
  <sheetFormatPr defaultRowHeight="12.75"/>
  <cols>
    <col min="1" max="1" width="6.85546875" bestFit="1" customWidth="1"/>
    <col min="2" max="2" width="11" customWidth="1"/>
    <col min="3" max="3" width="38.140625" bestFit="1" customWidth="1"/>
    <col min="4" max="7" width="13.85546875" style="7" customWidth="1"/>
    <col min="8" max="8" width="13.85546875" style="7" bestFit="1" customWidth="1"/>
    <col min="9" max="26" width="13.85546875" style="7" customWidth="1"/>
    <col min="27" max="27" width="12.7109375" style="7" bestFit="1" customWidth="1"/>
    <col min="28" max="35" width="12.28515625" style="7" bestFit="1" customWidth="1"/>
    <col min="36" max="36" width="13.28515625" style="7" bestFit="1" customWidth="1"/>
    <col min="37" max="37" width="12.28515625" style="7" bestFit="1" customWidth="1"/>
    <col min="38" max="39" width="12.7109375" style="7" bestFit="1" customWidth="1"/>
    <col min="40" max="51" width="13.42578125" style="7" customWidth="1"/>
    <col min="52" max="53" width="12.7109375" style="7" bestFit="1" customWidth="1"/>
    <col min="54" max="54" width="9.140625" style="7"/>
  </cols>
  <sheetData>
    <row r="1" spans="1:54" ht="15.75">
      <c r="A1" s="351" t="s">
        <v>174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54">
      <c r="D2" s="205" t="s">
        <v>62</v>
      </c>
      <c r="E2" s="205" t="s">
        <v>63</v>
      </c>
      <c r="F2" s="205" t="s">
        <v>64</v>
      </c>
      <c r="G2" s="205" t="s">
        <v>158</v>
      </c>
      <c r="H2" s="205" t="s">
        <v>78</v>
      </c>
      <c r="I2" s="205" t="s">
        <v>79</v>
      </c>
      <c r="J2" s="205" t="s">
        <v>80</v>
      </c>
      <c r="K2" s="205" t="s">
        <v>81</v>
      </c>
      <c r="L2" s="205" t="s">
        <v>82</v>
      </c>
      <c r="M2" s="205" t="s">
        <v>83</v>
      </c>
      <c r="N2" s="205" t="s">
        <v>84</v>
      </c>
      <c r="O2" s="205" t="s">
        <v>159</v>
      </c>
      <c r="P2" s="205" t="s">
        <v>160</v>
      </c>
      <c r="Q2" s="205" t="s">
        <v>161</v>
      </c>
      <c r="R2" s="205" t="s">
        <v>162</v>
      </c>
      <c r="S2" s="205" t="s">
        <v>163</v>
      </c>
      <c r="T2" s="205" t="s">
        <v>164</v>
      </c>
      <c r="U2" s="205" t="s">
        <v>165</v>
      </c>
      <c r="V2" s="205" t="s">
        <v>166</v>
      </c>
      <c r="W2" s="205" t="s">
        <v>167</v>
      </c>
      <c r="X2" s="205" t="s">
        <v>168</v>
      </c>
      <c r="Y2" s="205" t="s">
        <v>169</v>
      </c>
      <c r="Z2" s="205" t="s">
        <v>170</v>
      </c>
      <c r="AA2" s="205" t="s">
        <v>171</v>
      </c>
      <c r="AB2" s="205" t="s">
        <v>172</v>
      </c>
      <c r="AC2" s="205" t="s">
        <v>173</v>
      </c>
      <c r="AD2" s="205" t="s">
        <v>188</v>
      </c>
      <c r="AE2" s="205" t="s">
        <v>189</v>
      </c>
      <c r="AF2" s="205" t="s">
        <v>190</v>
      </c>
      <c r="AG2" s="205" t="s">
        <v>191</v>
      </c>
      <c r="AH2" s="205" t="s">
        <v>225</v>
      </c>
      <c r="AI2" s="205" t="s">
        <v>226</v>
      </c>
      <c r="AJ2" s="205" t="s">
        <v>227</v>
      </c>
      <c r="AK2" s="205" t="s">
        <v>228</v>
      </c>
      <c r="AL2" s="205" t="s">
        <v>229</v>
      </c>
      <c r="AM2" s="205" t="s">
        <v>230</v>
      </c>
      <c r="AN2" s="205" t="s">
        <v>317</v>
      </c>
      <c r="AO2" s="205" t="s">
        <v>318</v>
      </c>
      <c r="AP2" s="205" t="s">
        <v>319</v>
      </c>
      <c r="AQ2" s="205" t="s">
        <v>320</v>
      </c>
      <c r="AR2" s="205" t="s">
        <v>321</v>
      </c>
      <c r="AS2" s="205" t="s">
        <v>322</v>
      </c>
      <c r="AT2" s="205" t="s">
        <v>323</v>
      </c>
      <c r="AU2" s="205" t="s">
        <v>324</v>
      </c>
      <c r="AV2" s="205" t="s">
        <v>325</v>
      </c>
      <c r="AW2" s="205" t="s">
        <v>326</v>
      </c>
      <c r="AX2" s="205" t="s">
        <v>327</v>
      </c>
      <c r="AY2" s="205" t="s">
        <v>328</v>
      </c>
    </row>
    <row r="3" spans="1:54">
      <c r="D3" s="17">
        <v>41305</v>
      </c>
      <c r="E3" s="17">
        <f t="shared" ref="E3" si="0">EOMONTH(D3,1)</f>
        <v>41333</v>
      </c>
      <c r="F3" s="17">
        <f t="shared" ref="F3:G3" si="1">EOMONTH(E3,1)</f>
        <v>41364</v>
      </c>
      <c r="G3" s="17">
        <f t="shared" si="1"/>
        <v>41394</v>
      </c>
      <c r="H3" s="17">
        <f t="shared" ref="H3" si="2">EOMONTH(G3,1)</f>
        <v>41425</v>
      </c>
      <c r="I3" s="17">
        <f t="shared" ref="I3:J3" si="3">EOMONTH(H3,1)</f>
        <v>41455</v>
      </c>
      <c r="J3" s="17">
        <f t="shared" si="3"/>
        <v>41486</v>
      </c>
      <c r="K3" s="17">
        <f t="shared" ref="K3" si="4">EOMONTH(J3,1)</f>
        <v>41517</v>
      </c>
      <c r="L3" s="17">
        <f>EOMONTH(K3,1)</f>
        <v>41547</v>
      </c>
      <c r="M3" s="17">
        <f t="shared" ref="M3:O3" si="5">EOMONTH(L3,1)</f>
        <v>41578</v>
      </c>
      <c r="N3" s="17">
        <f t="shared" ref="N3" si="6">EOMONTH(M3,1)</f>
        <v>41608</v>
      </c>
      <c r="O3" s="17">
        <f t="shared" si="5"/>
        <v>41639</v>
      </c>
      <c r="P3" s="17">
        <f t="shared" ref="P3" si="7">EOMONTH(O3,1)</f>
        <v>41670</v>
      </c>
      <c r="Q3" s="17">
        <f t="shared" ref="Q3" si="8">EOMONTH(P3,1)</f>
        <v>41698</v>
      </c>
      <c r="R3" s="17">
        <f t="shared" ref="R3" si="9">EOMONTH(Q3,1)</f>
        <v>41729</v>
      </c>
      <c r="S3" s="17">
        <f t="shared" ref="S3" si="10">EOMONTH(R3,1)</f>
        <v>41759</v>
      </c>
      <c r="T3" s="17">
        <f t="shared" ref="T3" si="11">EOMONTH(S3,1)</f>
        <v>41790</v>
      </c>
      <c r="U3" s="17">
        <f t="shared" ref="U3" si="12">EOMONTH(T3,1)</f>
        <v>41820</v>
      </c>
      <c r="V3" s="17">
        <f t="shared" ref="V3" si="13">EOMONTH(U3,1)</f>
        <v>41851</v>
      </c>
      <c r="W3" s="17">
        <f t="shared" ref="W3" si="14">EOMONTH(V3,1)</f>
        <v>41882</v>
      </c>
      <c r="X3" s="17">
        <f t="shared" ref="X3" si="15">EOMONTH(W3,1)</f>
        <v>41912</v>
      </c>
      <c r="Y3" s="17">
        <f t="shared" ref="Y3" si="16">EOMONTH(X3,1)</f>
        <v>41943</v>
      </c>
      <c r="Z3" s="17">
        <f t="shared" ref="Z3" si="17">EOMONTH(Y3,1)</f>
        <v>41973</v>
      </c>
      <c r="AA3" s="17">
        <f t="shared" ref="AA3" si="18">EOMONTH(Z3,1)</f>
        <v>42004</v>
      </c>
      <c r="AB3" s="17">
        <f t="shared" ref="AB3" si="19">EOMONTH(AA3,1)</f>
        <v>42035</v>
      </c>
      <c r="AC3" s="17">
        <f t="shared" ref="AC3" si="20">EOMONTH(AB3,1)</f>
        <v>42063</v>
      </c>
      <c r="AD3" s="17">
        <f t="shared" ref="AD3" si="21">EOMONTH(AC3,1)</f>
        <v>42094</v>
      </c>
      <c r="AE3" s="17">
        <f t="shared" ref="AE3" si="22">EOMONTH(AD3,1)</f>
        <v>42124</v>
      </c>
      <c r="AF3" s="17">
        <f t="shared" ref="AF3" si="23">EOMONTH(AE3,1)</f>
        <v>42155</v>
      </c>
      <c r="AG3" s="17">
        <f t="shared" ref="AG3" si="24">EOMONTH(AF3,1)</f>
        <v>42185</v>
      </c>
      <c r="AH3" s="17">
        <f t="shared" ref="AH3" si="25">EOMONTH(AG3,1)</f>
        <v>42216</v>
      </c>
      <c r="AI3" s="17">
        <f t="shared" ref="AI3" si="26">EOMONTH(AH3,1)</f>
        <v>42247</v>
      </c>
      <c r="AJ3" s="17">
        <f t="shared" ref="AJ3" si="27">EOMONTH(AI3,1)</f>
        <v>42277</v>
      </c>
      <c r="AK3" s="17">
        <f t="shared" ref="AK3" si="28">EOMONTH(AJ3,1)</f>
        <v>42308</v>
      </c>
      <c r="AL3" s="17">
        <f t="shared" ref="AL3:AM3" si="29">EOMONTH(AK3,1)</f>
        <v>42338</v>
      </c>
      <c r="AM3" s="17">
        <f t="shared" si="29"/>
        <v>42369</v>
      </c>
      <c r="AN3" s="17">
        <f t="shared" ref="AN3" si="30">EOMONTH(AM3,1)</f>
        <v>42400</v>
      </c>
      <c r="AO3" s="17">
        <f t="shared" ref="AO3" si="31">EOMONTH(AN3,1)</f>
        <v>42429</v>
      </c>
      <c r="AP3" s="17">
        <f t="shared" ref="AP3" si="32">EOMONTH(AO3,1)</f>
        <v>42460</v>
      </c>
      <c r="AQ3" s="17">
        <f t="shared" ref="AQ3" si="33">EOMONTH(AP3,1)</f>
        <v>42490</v>
      </c>
      <c r="AR3" s="17">
        <f t="shared" ref="AR3" si="34">EOMONTH(AQ3,1)</f>
        <v>42521</v>
      </c>
      <c r="AS3" s="17">
        <f t="shared" ref="AS3" si="35">EOMONTH(AR3,1)</f>
        <v>42551</v>
      </c>
      <c r="AT3" s="17">
        <f t="shared" ref="AT3" si="36">EOMONTH(AS3,1)</f>
        <v>42582</v>
      </c>
      <c r="AU3" s="17">
        <f t="shared" ref="AU3" si="37">EOMONTH(AT3,1)</f>
        <v>42613</v>
      </c>
      <c r="AV3" s="17">
        <f t="shared" ref="AV3" si="38">EOMONTH(AU3,1)</f>
        <v>42643</v>
      </c>
      <c r="AW3" s="17">
        <f t="shared" ref="AW3" si="39">EOMONTH(AV3,1)</f>
        <v>42674</v>
      </c>
      <c r="AX3" s="17">
        <f t="shared" ref="AX3" si="40">EOMONTH(AW3,1)</f>
        <v>42704</v>
      </c>
      <c r="AY3" s="17">
        <f t="shared" ref="AY3" si="41">EOMONTH(AX3,1)</f>
        <v>42735</v>
      </c>
      <c r="AZ3"/>
      <c r="BA3"/>
      <c r="BB3"/>
    </row>
    <row r="4" spans="1:54">
      <c r="B4" s="3" t="s">
        <v>0</v>
      </c>
      <c r="C4" s="3" t="s">
        <v>34</v>
      </c>
      <c r="AZ4"/>
      <c r="BA4"/>
      <c r="BB4"/>
    </row>
    <row r="5" spans="1:54">
      <c r="A5" s="35">
        <v>1</v>
      </c>
      <c r="B5" t="str">
        <f>Calculations!A8</f>
        <v>01007067</v>
      </c>
      <c r="C5" t="s">
        <v>260</v>
      </c>
      <c r="D5" s="11">
        <f>-Calculations!B8</f>
        <v>1935.28</v>
      </c>
      <c r="E5" s="11">
        <f>-Calculations!C8</f>
        <v>0</v>
      </c>
      <c r="F5" s="11">
        <f>-Calculations!D8</f>
        <v>94.86</v>
      </c>
      <c r="G5" s="11">
        <f>-Calculations!E8</f>
        <v>0</v>
      </c>
      <c r="H5" s="11">
        <f>-Calculations!F8</f>
        <v>-932.74</v>
      </c>
      <c r="I5" s="11">
        <f>-Calculations!G8</f>
        <v>-6595.94</v>
      </c>
      <c r="J5" s="11">
        <f>-Calculations!H8</f>
        <v>0</v>
      </c>
      <c r="K5" s="11">
        <f>-Calculations!I8</f>
        <v>0</v>
      </c>
      <c r="L5" s="11">
        <f>-Calculations!J8</f>
        <v>0</v>
      </c>
      <c r="M5" s="11">
        <f>-Calculations!K8</f>
        <v>0</v>
      </c>
      <c r="N5" s="11">
        <f>-Calculations!L8</f>
        <v>0</v>
      </c>
      <c r="O5" s="11">
        <f>-Calculations!M8</f>
        <v>0</v>
      </c>
      <c r="P5" s="11">
        <f>-Calculations!N8</f>
        <v>0</v>
      </c>
      <c r="Q5" s="11">
        <f>-Calculations!O8</f>
        <v>0</v>
      </c>
      <c r="R5" s="11">
        <f>-Calculations!P8</f>
        <v>0</v>
      </c>
      <c r="S5" s="11">
        <f>-Calculations!Q8</f>
        <v>0</v>
      </c>
      <c r="T5" s="11">
        <f>-Calculations!R8</f>
        <v>0</v>
      </c>
      <c r="U5" s="11">
        <f>-Calculations!S8</f>
        <v>0</v>
      </c>
      <c r="V5" s="11">
        <f>-Calculations!T8</f>
        <v>0</v>
      </c>
      <c r="W5" s="11">
        <f>-Calculations!U8</f>
        <v>0</v>
      </c>
      <c r="X5" s="11">
        <f>-Calculations!V8</f>
        <v>0</v>
      </c>
      <c r="Y5" s="11">
        <f>-Calculations!W8</f>
        <v>0</v>
      </c>
      <c r="Z5" s="11">
        <f>-Calculations!X8</f>
        <v>0</v>
      </c>
      <c r="AA5" s="11">
        <f>-Calculations!Y8</f>
        <v>0</v>
      </c>
      <c r="AB5" s="11">
        <f>-Calculations!Z8</f>
        <v>0</v>
      </c>
      <c r="AC5" s="11">
        <f>-Calculations!AA8</f>
        <v>0</v>
      </c>
      <c r="AD5" s="11">
        <f>-Calculations!AB8</f>
        <v>0</v>
      </c>
      <c r="AE5" s="11">
        <f>-Calculations!AC8</f>
        <v>0</v>
      </c>
      <c r="AF5" s="11">
        <f>-Calculations!AD8</f>
        <v>0</v>
      </c>
      <c r="AG5" s="11">
        <f>-Calculations!AE8</f>
        <v>0</v>
      </c>
      <c r="AH5" s="11">
        <f>-Calculations!AF8</f>
        <v>0</v>
      </c>
      <c r="AI5" s="11">
        <f>-Calculations!AG8</f>
        <v>0</v>
      </c>
      <c r="AJ5" s="11"/>
      <c r="AK5" s="11"/>
      <c r="AL5" s="11"/>
      <c r="AM5" s="11"/>
      <c r="AZ5"/>
      <c r="BA5"/>
      <c r="BB5"/>
    </row>
    <row r="6" spans="1:54">
      <c r="A6" s="35">
        <f>A5+1</f>
        <v>2</v>
      </c>
      <c r="B6" t="str">
        <f>Calculations!A9</f>
        <v>01008213</v>
      </c>
      <c r="C6" t="s">
        <v>261</v>
      </c>
      <c r="D6" s="11">
        <f>-Calculations!B9</f>
        <v>0</v>
      </c>
      <c r="E6" s="11">
        <f>-Calculations!C9</f>
        <v>4446.12</v>
      </c>
      <c r="F6" s="11">
        <f>-Calculations!D9</f>
        <v>0</v>
      </c>
      <c r="G6" s="11">
        <f>-Calculations!E9</f>
        <v>0</v>
      </c>
      <c r="H6" s="11">
        <f>-Calculations!F9</f>
        <v>0</v>
      </c>
      <c r="I6" s="11">
        <f>-Calculations!G9</f>
        <v>0</v>
      </c>
      <c r="J6" s="11">
        <f>-Calculations!H9</f>
        <v>0</v>
      </c>
      <c r="K6" s="11">
        <f>-Calculations!I9</f>
        <v>0</v>
      </c>
      <c r="L6" s="11">
        <f>-Calculations!J9</f>
        <v>0</v>
      </c>
      <c r="M6" s="11">
        <f>-Calculations!K9</f>
        <v>0</v>
      </c>
      <c r="N6" s="11">
        <f>-Calculations!L9</f>
        <v>0</v>
      </c>
      <c r="O6" s="11">
        <f>-Calculations!M9</f>
        <v>0</v>
      </c>
      <c r="P6" s="11">
        <f>-Calculations!N9</f>
        <v>0</v>
      </c>
      <c r="Q6" s="11">
        <f>-Calculations!O9</f>
        <v>0</v>
      </c>
      <c r="R6" s="11">
        <f>-Calculations!P9</f>
        <v>0</v>
      </c>
      <c r="S6" s="11">
        <f>-Calculations!Q9</f>
        <v>0</v>
      </c>
      <c r="T6" s="11">
        <f>-Calculations!R9</f>
        <v>0</v>
      </c>
      <c r="U6" s="11">
        <f>-Calculations!S9</f>
        <v>0</v>
      </c>
      <c r="V6" s="11">
        <f>-Calculations!T9</f>
        <v>0</v>
      </c>
      <c r="W6" s="11">
        <f>-Calculations!U9</f>
        <v>0</v>
      </c>
      <c r="X6" s="11">
        <f>-Calculations!V9</f>
        <v>0</v>
      </c>
      <c r="Y6" s="11">
        <f>-Calculations!W9</f>
        <v>0</v>
      </c>
      <c r="Z6" s="11">
        <f>-Calculations!X9</f>
        <v>0</v>
      </c>
      <c r="AA6" s="11">
        <f>-Calculations!Y9</f>
        <v>0</v>
      </c>
      <c r="AB6" s="11">
        <f>-Calculations!Z9</f>
        <v>0</v>
      </c>
      <c r="AC6" s="11">
        <f>-Calculations!AA9</f>
        <v>0</v>
      </c>
      <c r="AD6" s="11">
        <f>-Calculations!AB9</f>
        <v>0</v>
      </c>
      <c r="AE6" s="11">
        <f>-Calculations!AC9</f>
        <v>0</v>
      </c>
      <c r="AF6" s="11">
        <f>-Calculations!AD9</f>
        <v>0</v>
      </c>
      <c r="AG6" s="11">
        <f>-Calculations!AE9</f>
        <v>0</v>
      </c>
      <c r="AH6" s="11">
        <f>-Calculations!AF9</f>
        <v>0</v>
      </c>
      <c r="AI6" s="11">
        <f>-Calculations!AG9</f>
        <v>0</v>
      </c>
      <c r="AJ6" s="11"/>
      <c r="AK6" s="11"/>
      <c r="AL6" s="11"/>
      <c r="AM6" s="11"/>
      <c r="AZ6"/>
      <c r="BA6"/>
      <c r="BB6"/>
    </row>
    <row r="7" spans="1:54" s="5" customFormat="1">
      <c r="A7" s="35">
        <f t="shared" ref="A7:A72" si="42">A6+1</f>
        <v>3</v>
      </c>
      <c r="B7" t="str">
        <f>Calculations!A10</f>
        <v>01009359</v>
      </c>
      <c r="C7" t="s">
        <v>262</v>
      </c>
      <c r="D7" s="11">
        <f>-Calculations!B10</f>
        <v>0</v>
      </c>
      <c r="E7" s="11">
        <f>-Calculations!C10</f>
        <v>14552.42</v>
      </c>
      <c r="F7" s="11">
        <f>-Calculations!D10</f>
        <v>0</v>
      </c>
      <c r="G7" s="11">
        <f>-Calculations!E10</f>
        <v>0</v>
      </c>
      <c r="H7" s="11">
        <f>-Calculations!F10</f>
        <v>-137.24</v>
      </c>
      <c r="I7" s="11">
        <f>-Calculations!G10</f>
        <v>0</v>
      </c>
      <c r="J7" s="11">
        <f>-Calculations!H10</f>
        <v>0</v>
      </c>
      <c r="K7" s="11">
        <f>-Calculations!I10</f>
        <v>0</v>
      </c>
      <c r="L7" s="11">
        <f>-Calculations!J10</f>
        <v>0</v>
      </c>
      <c r="M7" s="11">
        <f>-Calculations!K10</f>
        <v>0</v>
      </c>
      <c r="N7" s="11">
        <f>-Calculations!L10</f>
        <v>0</v>
      </c>
      <c r="O7" s="11">
        <f>-Calculations!M10</f>
        <v>0</v>
      </c>
      <c r="P7" s="11">
        <f>-Calculations!N10</f>
        <v>0</v>
      </c>
      <c r="Q7" s="11">
        <f>-Calculations!O10</f>
        <v>0</v>
      </c>
      <c r="R7" s="11">
        <f>-Calculations!P10</f>
        <v>0</v>
      </c>
      <c r="S7" s="11">
        <f>-Calculations!Q10</f>
        <v>0</v>
      </c>
      <c r="T7" s="11">
        <f>-Calculations!R10</f>
        <v>0</v>
      </c>
      <c r="U7" s="11">
        <f>-Calculations!S10</f>
        <v>0</v>
      </c>
      <c r="V7" s="11">
        <f>-Calculations!T10</f>
        <v>0</v>
      </c>
      <c r="W7" s="11">
        <f>-Calculations!U10</f>
        <v>0</v>
      </c>
      <c r="X7" s="11">
        <f>-Calculations!V10</f>
        <v>0</v>
      </c>
      <c r="Y7" s="11">
        <f>-Calculations!W10</f>
        <v>0</v>
      </c>
      <c r="Z7" s="11">
        <f>-Calculations!X10</f>
        <v>0</v>
      </c>
      <c r="AA7" s="11">
        <f>-Calculations!Y10</f>
        <v>0</v>
      </c>
      <c r="AB7" s="11">
        <f>-Calculations!Z10</f>
        <v>0</v>
      </c>
      <c r="AC7" s="11">
        <f>-Calculations!AA10</f>
        <v>0</v>
      </c>
      <c r="AD7" s="11">
        <f>-Calculations!AB10</f>
        <v>0</v>
      </c>
      <c r="AE7" s="11">
        <f>-Calculations!AC10</f>
        <v>0</v>
      </c>
      <c r="AF7" s="11">
        <f>-Calculations!AD10</f>
        <v>0</v>
      </c>
      <c r="AG7" s="11">
        <f>-Calculations!AE10</f>
        <v>0</v>
      </c>
      <c r="AH7" s="11">
        <f>-Calculations!AF10</f>
        <v>0</v>
      </c>
      <c r="AI7" s="11">
        <f>-Calculations!AG10</f>
        <v>0</v>
      </c>
      <c r="AJ7" s="11"/>
      <c r="AK7" s="11"/>
      <c r="AL7" s="11"/>
      <c r="AM7" s="11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4" s="5" customFormat="1">
      <c r="A8" s="35">
        <f t="shared" si="42"/>
        <v>4</v>
      </c>
      <c r="B8" t="str">
        <f>Calculations!A11</f>
        <v>01009663</v>
      </c>
      <c r="C8" t="s">
        <v>263</v>
      </c>
      <c r="D8" s="11">
        <f>-Calculations!B11</f>
        <v>0</v>
      </c>
      <c r="E8" s="11">
        <f>-Calculations!C11</f>
        <v>924.94</v>
      </c>
      <c r="F8" s="11">
        <f>-Calculations!D11</f>
        <v>0</v>
      </c>
      <c r="G8" s="11">
        <f>-Calculations!E11</f>
        <v>0</v>
      </c>
      <c r="H8" s="11">
        <f>-Calculations!F11</f>
        <v>0</v>
      </c>
      <c r="I8" s="11">
        <f>-Calculations!G11</f>
        <v>0</v>
      </c>
      <c r="J8" s="11">
        <f>-Calculations!H11</f>
        <v>0</v>
      </c>
      <c r="K8" s="11">
        <f>-Calculations!I11</f>
        <v>0</v>
      </c>
      <c r="L8" s="11">
        <f>-Calculations!J11</f>
        <v>0</v>
      </c>
      <c r="M8" s="11">
        <f>-Calculations!K11</f>
        <v>1609.34</v>
      </c>
      <c r="N8" s="11">
        <f>-Calculations!L11</f>
        <v>0</v>
      </c>
      <c r="O8" s="11">
        <f>-Calculations!M11</f>
        <v>0</v>
      </c>
      <c r="P8" s="11">
        <f>-Calculations!N11</f>
        <v>0</v>
      </c>
      <c r="Q8" s="11">
        <f>-Calculations!O11</f>
        <v>0</v>
      </c>
      <c r="R8" s="11">
        <f>-Calculations!P11</f>
        <v>0</v>
      </c>
      <c r="S8" s="11">
        <f>-Calculations!Q11</f>
        <v>127.45</v>
      </c>
      <c r="T8" s="11">
        <f>-Calculations!R11</f>
        <v>0</v>
      </c>
      <c r="U8" s="11">
        <f>-Calculations!S11</f>
        <v>0</v>
      </c>
      <c r="V8" s="11">
        <f>-Calculations!T11</f>
        <v>0</v>
      </c>
      <c r="W8" s="11">
        <f>-Calculations!U11</f>
        <v>0</v>
      </c>
      <c r="X8" s="11">
        <f>-Calculations!V11</f>
        <v>0</v>
      </c>
      <c r="Y8" s="11">
        <f>-Calculations!W11</f>
        <v>0</v>
      </c>
      <c r="Z8" s="11">
        <f>-Calculations!X11</f>
        <v>0</v>
      </c>
      <c r="AA8" s="11">
        <f>-Calculations!Y11</f>
        <v>0</v>
      </c>
      <c r="AB8" s="11">
        <f>-Calculations!Z11</f>
        <v>0</v>
      </c>
      <c r="AC8" s="11">
        <f>-Calculations!AA11</f>
        <v>0</v>
      </c>
      <c r="AD8" s="11">
        <f>-Calculations!AB11</f>
        <v>0</v>
      </c>
      <c r="AE8" s="11">
        <f>-Calculations!AC11</f>
        <v>0</v>
      </c>
      <c r="AF8" s="11">
        <f>-Calculations!AD11</f>
        <v>0</v>
      </c>
      <c r="AG8" s="11">
        <f>-Calculations!AE11</f>
        <v>0</v>
      </c>
      <c r="AH8" s="11">
        <f>-Calculations!AF11</f>
        <v>0</v>
      </c>
      <c r="AI8" s="11">
        <f>-Calculations!AG11</f>
        <v>0</v>
      </c>
      <c r="AJ8" s="11"/>
      <c r="AK8" s="11"/>
      <c r="AL8" s="11"/>
      <c r="AM8" s="11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4" s="5" customFormat="1">
      <c r="A9" s="35">
        <f t="shared" si="42"/>
        <v>5</v>
      </c>
      <c r="B9" t="str">
        <f>Calculations!A12</f>
        <v>01009666</v>
      </c>
      <c r="C9" t="s">
        <v>264</v>
      </c>
      <c r="D9" s="11">
        <f>-Calculations!B12</f>
        <v>-747.59</v>
      </c>
      <c r="E9" s="11">
        <f>-Calculations!C12</f>
        <v>0</v>
      </c>
      <c r="F9" s="11">
        <f>-Calculations!D12</f>
        <v>5015.47</v>
      </c>
      <c r="G9" s="11">
        <f>-Calculations!E12</f>
        <v>4438.34</v>
      </c>
      <c r="H9" s="11">
        <f>-Calculations!F12</f>
        <v>-124942.86</v>
      </c>
      <c r="I9" s="11">
        <f>-Calculations!G12</f>
        <v>-1275.57</v>
      </c>
      <c r="J9" s="11">
        <f>-Calculations!H12</f>
        <v>0</v>
      </c>
      <c r="K9" s="11">
        <f>-Calculations!I12</f>
        <v>0</v>
      </c>
      <c r="L9" s="11">
        <f>-Calculations!J12</f>
        <v>0</v>
      </c>
      <c r="M9" s="11">
        <f>-Calculations!K12</f>
        <v>0</v>
      </c>
      <c r="N9" s="11">
        <f>-Calculations!L12</f>
        <v>0</v>
      </c>
      <c r="O9" s="11">
        <f>-Calculations!M12</f>
        <v>0</v>
      </c>
      <c r="P9" s="11">
        <f>-Calculations!N12</f>
        <v>0</v>
      </c>
      <c r="Q9" s="11">
        <f>-Calculations!O12</f>
        <v>0</v>
      </c>
      <c r="R9" s="11">
        <f>-Calculations!P12</f>
        <v>0</v>
      </c>
      <c r="S9" s="11">
        <f>-Calculations!Q12</f>
        <v>375.98</v>
      </c>
      <c r="T9" s="11">
        <f>-Calculations!R12</f>
        <v>0</v>
      </c>
      <c r="U9" s="11">
        <f>-Calculations!S12</f>
        <v>0.35</v>
      </c>
      <c r="V9" s="11">
        <f>-Calculations!T12</f>
        <v>0</v>
      </c>
      <c r="W9" s="11">
        <f>-Calculations!U12</f>
        <v>0</v>
      </c>
      <c r="X9" s="11">
        <f>-Calculations!V12</f>
        <v>0</v>
      </c>
      <c r="Y9" s="11">
        <f>-Calculations!W12</f>
        <v>0</v>
      </c>
      <c r="Z9" s="11">
        <f>-Calculations!X12</f>
        <v>0</v>
      </c>
      <c r="AA9" s="11">
        <f>-Calculations!Y12</f>
        <v>0</v>
      </c>
      <c r="AB9" s="11">
        <f>-Calculations!Z12</f>
        <v>0</v>
      </c>
      <c r="AC9" s="11">
        <f>-Calculations!AA12</f>
        <v>0</v>
      </c>
      <c r="AD9" s="11">
        <f>-Calculations!AB12</f>
        <v>0</v>
      </c>
      <c r="AE9" s="11">
        <f>-Calculations!AC12</f>
        <v>0</v>
      </c>
      <c r="AF9" s="11">
        <f>-Calculations!AD12</f>
        <v>0</v>
      </c>
      <c r="AG9" s="11">
        <f>-Calculations!AE12</f>
        <v>0</v>
      </c>
      <c r="AH9" s="11">
        <f>-Calculations!AF12</f>
        <v>0</v>
      </c>
      <c r="AI9" s="11">
        <f>-Calculations!AG12</f>
        <v>0</v>
      </c>
      <c r="AJ9" s="11"/>
      <c r="AK9" s="11"/>
      <c r="AL9" s="11"/>
      <c r="AM9" s="11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4" s="5" customFormat="1">
      <c r="A10" s="35">
        <f t="shared" si="42"/>
        <v>6</v>
      </c>
      <c r="B10" t="str">
        <f>Calculations!A13</f>
        <v>01010104</v>
      </c>
      <c r="C10" t="s">
        <v>265</v>
      </c>
      <c r="D10" s="11">
        <f>-Calculations!B13</f>
        <v>0</v>
      </c>
      <c r="E10" s="11">
        <f>-Calculations!C13</f>
        <v>0</v>
      </c>
      <c r="F10" s="11">
        <f>-Calculations!D13</f>
        <v>90000</v>
      </c>
      <c r="G10" s="11">
        <f>-Calculations!E13</f>
        <v>0</v>
      </c>
      <c r="H10" s="11">
        <f>-Calculations!F13</f>
        <v>0</v>
      </c>
      <c r="I10" s="11">
        <f>-Calculations!G13</f>
        <v>11030733.41</v>
      </c>
      <c r="J10" s="11">
        <f>-Calculations!H13</f>
        <v>0</v>
      </c>
      <c r="K10" s="11">
        <f>-Calculations!I13</f>
        <v>1127579.21</v>
      </c>
      <c r="L10" s="11">
        <f>-Calculations!J13</f>
        <v>37564.730000000003</v>
      </c>
      <c r="M10" s="11">
        <f>-Calculations!K13</f>
        <v>1688510.1199999999</v>
      </c>
      <c r="N10" s="11">
        <f>-Calculations!L13</f>
        <v>-48138.68</v>
      </c>
      <c r="O10" s="11">
        <f>-Calculations!M13</f>
        <v>51285.11</v>
      </c>
      <c r="P10" s="11">
        <f>-Calculations!N13</f>
        <v>-108732.58</v>
      </c>
      <c r="Q10" s="11">
        <f>-Calculations!O13</f>
        <v>33836.92</v>
      </c>
      <c r="R10" s="11">
        <f>-Calculations!P13</f>
        <v>29899.079999999998</v>
      </c>
      <c r="S10" s="11">
        <f>-Calculations!Q13</f>
        <v>1593.1</v>
      </c>
      <c r="T10" s="11">
        <f>-Calculations!R13</f>
        <v>-92208.639999999999</v>
      </c>
      <c r="U10" s="11">
        <f>-Calculations!S13</f>
        <v>-6540.69</v>
      </c>
      <c r="V10" s="11">
        <f>-Calculations!T13</f>
        <v>1117.8800000000001</v>
      </c>
      <c r="W10" s="11">
        <f>-Calculations!U13</f>
        <v>0</v>
      </c>
      <c r="X10" s="11">
        <f>-Calculations!V13</f>
        <v>0</v>
      </c>
      <c r="Y10" s="11">
        <f>-Calculations!W13</f>
        <v>792.4</v>
      </c>
      <c r="Z10" s="11">
        <f>-Calculations!X13</f>
        <v>0</v>
      </c>
      <c r="AA10" s="11">
        <f>-Calculations!Y13</f>
        <v>0</v>
      </c>
      <c r="AB10" s="11">
        <f>-Calculations!Z13</f>
        <v>0</v>
      </c>
      <c r="AC10" s="11">
        <f>-Calculations!AA13</f>
        <v>0</v>
      </c>
      <c r="AD10" s="11">
        <f>-Calculations!AB13</f>
        <v>0</v>
      </c>
      <c r="AE10" s="11">
        <f>-Calculations!AC13</f>
        <v>0</v>
      </c>
      <c r="AF10" s="11">
        <f>-Calculations!AD13</f>
        <v>0</v>
      </c>
      <c r="AG10" s="11">
        <f>-Calculations!AE13</f>
        <v>0</v>
      </c>
      <c r="AH10" s="11">
        <f>-Calculations!AF13</f>
        <v>0</v>
      </c>
      <c r="AI10" s="11">
        <f>-Calculations!AG13</f>
        <v>0</v>
      </c>
      <c r="AJ10" s="11"/>
      <c r="AK10" s="11"/>
      <c r="AL10" s="11"/>
      <c r="AM10" s="11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4" s="5" customFormat="1">
      <c r="A11" s="35">
        <f t="shared" si="42"/>
        <v>7</v>
      </c>
      <c r="B11" t="str">
        <f>Calculations!A14</f>
        <v>01010105</v>
      </c>
      <c r="C11" t="s">
        <v>266</v>
      </c>
      <c r="D11" s="11">
        <f>-Calculations!B14</f>
        <v>0</v>
      </c>
      <c r="E11" s="11">
        <f>-Calculations!C14</f>
        <v>0</v>
      </c>
      <c r="F11" s="11">
        <f>-Calculations!D14</f>
        <v>0</v>
      </c>
      <c r="G11" s="11">
        <f>-Calculations!E14</f>
        <v>0</v>
      </c>
      <c r="H11" s="11">
        <f>-Calculations!F14</f>
        <v>0</v>
      </c>
      <c r="I11" s="11">
        <f>-Calculations!G14</f>
        <v>0</v>
      </c>
      <c r="J11" s="11">
        <f>-Calculations!H14</f>
        <v>0</v>
      </c>
      <c r="K11" s="11">
        <f>-Calculations!I14</f>
        <v>7619565.4199999999</v>
      </c>
      <c r="L11" s="11">
        <f>-Calculations!J14</f>
        <v>0</v>
      </c>
      <c r="M11" s="11">
        <f>-Calculations!K14</f>
        <v>591916.64</v>
      </c>
      <c r="N11" s="11">
        <f>-Calculations!L14</f>
        <v>0</v>
      </c>
      <c r="O11" s="11">
        <f>-Calculations!M14</f>
        <v>359986.8</v>
      </c>
      <c r="P11" s="11">
        <f>-Calculations!N14</f>
        <v>0</v>
      </c>
      <c r="Q11" s="11">
        <f>-Calculations!O14</f>
        <v>76662.2</v>
      </c>
      <c r="R11" s="11">
        <f>-Calculations!P14</f>
        <v>3482.01</v>
      </c>
      <c r="S11" s="11">
        <f>-Calculations!Q14</f>
        <v>29315.26</v>
      </c>
      <c r="T11" s="11">
        <f>-Calculations!R14</f>
        <v>-85935.03</v>
      </c>
      <c r="U11" s="11">
        <f>-Calculations!S14</f>
        <v>-3871.31</v>
      </c>
      <c r="V11" s="11">
        <f>-Calculations!T14</f>
        <v>0</v>
      </c>
      <c r="W11" s="11">
        <f>-Calculations!U14</f>
        <v>0</v>
      </c>
      <c r="X11" s="11">
        <f>-Calculations!V14</f>
        <v>0</v>
      </c>
      <c r="Y11" s="11">
        <f>-Calculations!W14</f>
        <v>9852.82</v>
      </c>
      <c r="Z11" s="11">
        <f>-Calculations!X14</f>
        <v>0</v>
      </c>
      <c r="AA11" s="11">
        <f>-Calculations!Y14</f>
        <v>0</v>
      </c>
      <c r="AB11" s="11">
        <f>-Calculations!Z14</f>
        <v>0</v>
      </c>
      <c r="AC11" s="11">
        <f>-Calculations!AA14</f>
        <v>0</v>
      </c>
      <c r="AD11" s="11">
        <f>-Calculations!AB14</f>
        <v>0</v>
      </c>
      <c r="AE11" s="11">
        <f>-Calculations!AC14</f>
        <v>0</v>
      </c>
      <c r="AF11" s="11">
        <f>-Calculations!AD14</f>
        <v>0</v>
      </c>
      <c r="AG11" s="11">
        <f>-Calculations!AE14</f>
        <v>0</v>
      </c>
      <c r="AH11" s="11">
        <f>-Calculations!AF14</f>
        <v>0</v>
      </c>
      <c r="AI11" s="11">
        <f>-Calculations!AG14</f>
        <v>0</v>
      </c>
      <c r="AJ11" s="11"/>
      <c r="AK11" s="11"/>
      <c r="AL11" s="11"/>
      <c r="AM11" s="11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4" s="5" customFormat="1">
      <c r="A12" s="35">
        <f t="shared" si="42"/>
        <v>8</v>
      </c>
      <c r="B12" t="str">
        <f>Calculations!A15</f>
        <v>01010132</v>
      </c>
      <c r="C12" t="s">
        <v>267</v>
      </c>
      <c r="D12" s="11">
        <f>-Calculations!B15</f>
        <v>-10946.43</v>
      </c>
      <c r="E12" s="11">
        <f>-Calculations!C15</f>
        <v>0</v>
      </c>
      <c r="F12" s="11">
        <f>-Calculations!D15</f>
        <v>-471.95</v>
      </c>
      <c r="G12" s="11">
        <f>-Calculations!E15</f>
        <v>0</v>
      </c>
      <c r="H12" s="11">
        <f>-Calculations!F15</f>
        <v>-26873.5</v>
      </c>
      <c r="I12" s="11">
        <f>-Calculations!G15</f>
        <v>5702.03</v>
      </c>
      <c r="J12" s="11">
        <f>-Calculations!H15</f>
        <v>0</v>
      </c>
      <c r="K12" s="11">
        <f>-Calculations!I15</f>
        <v>0</v>
      </c>
      <c r="L12" s="11">
        <f>-Calculations!J15</f>
        <v>0</v>
      </c>
      <c r="M12" s="11">
        <f>-Calculations!K15</f>
        <v>0</v>
      </c>
      <c r="N12" s="11">
        <f>-Calculations!L15</f>
        <v>0</v>
      </c>
      <c r="O12" s="11">
        <f>-Calculations!M15</f>
        <v>0</v>
      </c>
      <c r="P12" s="11">
        <f>-Calculations!N15</f>
        <v>0</v>
      </c>
      <c r="Q12" s="11">
        <f>-Calculations!O15</f>
        <v>0</v>
      </c>
      <c r="R12" s="11">
        <f>-Calculations!P15</f>
        <v>0</v>
      </c>
      <c r="S12" s="11">
        <f>-Calculations!Q15</f>
        <v>0</v>
      </c>
      <c r="T12" s="11">
        <f>-Calculations!R15</f>
        <v>0</v>
      </c>
      <c r="U12" s="11">
        <f>-Calculations!S15</f>
        <v>0</v>
      </c>
      <c r="V12" s="11">
        <f>-Calculations!T15</f>
        <v>0</v>
      </c>
      <c r="W12" s="11">
        <f>-Calculations!U15</f>
        <v>0</v>
      </c>
      <c r="X12" s="11">
        <f>-Calculations!V15</f>
        <v>0</v>
      </c>
      <c r="Y12" s="11">
        <f>-Calculations!W15</f>
        <v>0</v>
      </c>
      <c r="Z12" s="11">
        <f>-Calculations!X15</f>
        <v>0</v>
      </c>
      <c r="AA12" s="11">
        <f>-Calculations!Y15</f>
        <v>0</v>
      </c>
      <c r="AB12" s="11">
        <f>-Calculations!Z15</f>
        <v>0</v>
      </c>
      <c r="AC12" s="11">
        <f>-Calculations!AA15</f>
        <v>0</v>
      </c>
      <c r="AD12" s="11">
        <f>-Calculations!AB15</f>
        <v>0</v>
      </c>
      <c r="AE12" s="11">
        <f>-Calculations!AC15</f>
        <v>0</v>
      </c>
      <c r="AF12" s="11">
        <f>-Calculations!AD15</f>
        <v>0</v>
      </c>
      <c r="AG12" s="11">
        <f>-Calculations!AE15</f>
        <v>0</v>
      </c>
      <c r="AH12" s="11">
        <f>-Calculations!AF15</f>
        <v>0</v>
      </c>
      <c r="AI12" s="11">
        <f>-Calculations!AG15</f>
        <v>0</v>
      </c>
      <c r="AJ12" s="11"/>
      <c r="AK12" s="11"/>
      <c r="AL12" s="11"/>
      <c r="AM12" s="11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4" s="5" customFormat="1">
      <c r="A13" s="35">
        <f t="shared" si="42"/>
        <v>9</v>
      </c>
      <c r="B13" t="str">
        <f>Calculations!A16</f>
        <v>01040064</v>
      </c>
      <c r="C13" t="s">
        <v>268</v>
      </c>
      <c r="D13" s="11">
        <f>-Calculations!B16</f>
        <v>0</v>
      </c>
      <c r="E13" s="11">
        <f>-Calculations!C16</f>
        <v>0</v>
      </c>
      <c r="F13" s="11">
        <f>-Calculations!D16</f>
        <v>0</v>
      </c>
      <c r="G13" s="11">
        <f>-Calculations!E16</f>
        <v>0</v>
      </c>
      <c r="H13" s="11">
        <f>-Calculations!F16</f>
        <v>0</v>
      </c>
      <c r="I13" s="11">
        <f>-Calculations!G16</f>
        <v>0</v>
      </c>
      <c r="J13" s="11">
        <f>-Calculations!H16</f>
        <v>0</v>
      </c>
      <c r="K13" s="11">
        <f>-Calculations!I16</f>
        <v>-5516.83</v>
      </c>
      <c r="L13" s="11">
        <f>-Calculations!J16</f>
        <v>0</v>
      </c>
      <c r="M13" s="11">
        <f>-Calculations!K16</f>
        <v>0</v>
      </c>
      <c r="N13" s="11">
        <f>-Calculations!L16</f>
        <v>0</v>
      </c>
      <c r="O13" s="11">
        <f>-Calculations!M16</f>
        <v>0</v>
      </c>
      <c r="P13" s="11">
        <f>-Calculations!N16</f>
        <v>0</v>
      </c>
      <c r="Q13" s="11">
        <f>-Calculations!O16</f>
        <v>0</v>
      </c>
      <c r="R13" s="11">
        <f>-Calculations!P16</f>
        <v>0</v>
      </c>
      <c r="S13" s="11">
        <f>-Calculations!Q16</f>
        <v>0</v>
      </c>
      <c r="T13" s="11">
        <f>-Calculations!R16</f>
        <v>0</v>
      </c>
      <c r="U13" s="11">
        <f>-Calculations!S16</f>
        <v>0</v>
      </c>
      <c r="V13" s="11">
        <f>-Calculations!T16</f>
        <v>0</v>
      </c>
      <c r="W13" s="11">
        <f>-Calculations!U16</f>
        <v>0</v>
      </c>
      <c r="X13" s="11">
        <f>-Calculations!V16</f>
        <v>0</v>
      </c>
      <c r="Y13" s="11">
        <f>-Calculations!W16</f>
        <v>0</v>
      </c>
      <c r="Z13" s="11">
        <f>-Calculations!X16</f>
        <v>0</v>
      </c>
      <c r="AA13" s="11">
        <f>-Calculations!Y16</f>
        <v>0</v>
      </c>
      <c r="AB13" s="11">
        <f>-Calculations!Z16</f>
        <v>0</v>
      </c>
      <c r="AC13" s="11">
        <f>-Calculations!AA16</f>
        <v>0</v>
      </c>
      <c r="AD13" s="11">
        <f>-Calculations!AB16</f>
        <v>0</v>
      </c>
      <c r="AE13" s="11">
        <f>-Calculations!AC16</f>
        <v>0</v>
      </c>
      <c r="AF13" s="11">
        <f>-Calculations!AD16</f>
        <v>0</v>
      </c>
      <c r="AG13" s="11">
        <f>-Calculations!AE16</f>
        <v>0</v>
      </c>
      <c r="AH13" s="11">
        <f>-Calculations!AF16</f>
        <v>0</v>
      </c>
      <c r="AI13" s="11">
        <f>-Calculations!AG16</f>
        <v>0</v>
      </c>
      <c r="AJ13" s="11"/>
      <c r="AK13" s="11"/>
      <c r="AL13" s="11"/>
      <c r="AM13" s="11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4" s="5" customFormat="1">
      <c r="A14" s="35">
        <f t="shared" si="42"/>
        <v>10</v>
      </c>
      <c r="B14" t="str">
        <f>Calculations!A17</f>
        <v>01040158</v>
      </c>
      <c r="C14" t="s">
        <v>269</v>
      </c>
      <c r="D14" s="11">
        <f>-Calculations!B17</f>
        <v>0</v>
      </c>
      <c r="E14" s="11">
        <f>-Calculations!C17</f>
        <v>0</v>
      </c>
      <c r="F14" s="11">
        <f>-Calculations!D17</f>
        <v>0</v>
      </c>
      <c r="G14" s="11">
        <f>-Calculations!E17</f>
        <v>0</v>
      </c>
      <c r="H14" s="11">
        <f>-Calculations!F17</f>
        <v>0</v>
      </c>
      <c r="I14" s="11">
        <f>-Calculations!G17</f>
        <v>0</v>
      </c>
      <c r="J14" s="11">
        <f>-Calculations!H17</f>
        <v>0</v>
      </c>
      <c r="K14" s="11">
        <f>-Calculations!I17</f>
        <v>10293560.970000001</v>
      </c>
      <c r="L14" s="11">
        <f>-Calculations!J17</f>
        <v>0</v>
      </c>
      <c r="M14" s="11">
        <f>-Calculations!K17</f>
        <v>-580413.11</v>
      </c>
      <c r="N14" s="11">
        <f>-Calculations!L17</f>
        <v>0</v>
      </c>
      <c r="O14" s="11">
        <f>-Calculations!M17</f>
        <v>153193.53</v>
      </c>
      <c r="P14" s="11">
        <f>-Calculations!N17</f>
        <v>0</v>
      </c>
      <c r="Q14" s="11">
        <f>-Calculations!O17</f>
        <v>203715.43</v>
      </c>
      <c r="R14" s="11">
        <f>-Calculations!P17</f>
        <v>23903.59</v>
      </c>
      <c r="S14" s="11">
        <f>-Calculations!Q17</f>
        <v>0</v>
      </c>
      <c r="T14" s="11">
        <f>-Calculations!R17</f>
        <v>-113003.06</v>
      </c>
      <c r="U14" s="11">
        <f>-Calculations!S17</f>
        <v>0</v>
      </c>
      <c r="V14" s="11">
        <f>-Calculations!T17</f>
        <v>0</v>
      </c>
      <c r="W14" s="11">
        <f>-Calculations!U17</f>
        <v>0</v>
      </c>
      <c r="X14" s="11">
        <f>-Calculations!V17</f>
        <v>0</v>
      </c>
      <c r="Y14" s="11">
        <f>-Calculations!W17</f>
        <v>0</v>
      </c>
      <c r="Z14" s="11">
        <f>-Calculations!X17</f>
        <v>0</v>
      </c>
      <c r="AA14" s="11">
        <f>-Calculations!Y17</f>
        <v>0</v>
      </c>
      <c r="AB14" s="11">
        <f>-Calculations!Z17</f>
        <v>0</v>
      </c>
      <c r="AC14" s="11">
        <f>-Calculations!AA17</f>
        <v>0</v>
      </c>
      <c r="AD14" s="11">
        <f>-Calculations!AB17</f>
        <v>0</v>
      </c>
      <c r="AE14" s="11">
        <f>-Calculations!AC17</f>
        <v>-23095.56</v>
      </c>
      <c r="AF14" s="11">
        <f>-Calculations!AD17</f>
        <v>0</v>
      </c>
      <c r="AG14" s="11">
        <f>-Calculations!AE17</f>
        <v>54.91</v>
      </c>
      <c r="AH14" s="11">
        <f>-Calculations!AF17</f>
        <v>0</v>
      </c>
      <c r="AI14" s="11">
        <f>-Calculations!AG17</f>
        <v>0</v>
      </c>
      <c r="AJ14" s="11"/>
      <c r="AK14" s="11"/>
      <c r="AL14" s="11"/>
      <c r="AM14" s="11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4" s="5" customFormat="1">
      <c r="A15" s="35">
        <f t="shared" si="42"/>
        <v>11</v>
      </c>
      <c r="B15" t="str">
        <f>Calculations!A18</f>
        <v>01040177</v>
      </c>
      <c r="C15" t="s">
        <v>270</v>
      </c>
      <c r="D15" s="11">
        <f>-Calculations!B18</f>
        <v>25.33</v>
      </c>
      <c r="E15" s="11">
        <f>-Calculations!C18</f>
        <v>0</v>
      </c>
      <c r="F15" s="11">
        <f>-Calculations!D18</f>
        <v>5.45</v>
      </c>
      <c r="G15" s="11">
        <f>-Calculations!E18</f>
        <v>0</v>
      </c>
      <c r="H15" s="11">
        <f>-Calculations!F18</f>
        <v>0</v>
      </c>
      <c r="I15" s="11">
        <f>-Calculations!G18</f>
        <v>0</v>
      </c>
      <c r="J15" s="11">
        <f>-Calculations!H18</f>
        <v>0</v>
      </c>
      <c r="K15" s="11">
        <f>-Calculations!I18</f>
        <v>0</v>
      </c>
      <c r="L15" s="11">
        <f>-Calculations!J18</f>
        <v>0</v>
      </c>
      <c r="M15" s="11">
        <f>-Calculations!K18</f>
        <v>0</v>
      </c>
      <c r="N15" s="11">
        <f>-Calculations!L18</f>
        <v>0</v>
      </c>
      <c r="O15" s="11">
        <f>-Calculations!M18</f>
        <v>0</v>
      </c>
      <c r="P15" s="11">
        <f>-Calculations!N18</f>
        <v>0</v>
      </c>
      <c r="Q15" s="11">
        <f>-Calculations!O18</f>
        <v>0</v>
      </c>
      <c r="R15" s="11">
        <f>-Calculations!P18</f>
        <v>0</v>
      </c>
      <c r="S15" s="11">
        <f>-Calculations!Q18</f>
        <v>0</v>
      </c>
      <c r="T15" s="11">
        <f>-Calculations!R18</f>
        <v>0</v>
      </c>
      <c r="U15" s="11">
        <f>-Calculations!S18</f>
        <v>0</v>
      </c>
      <c r="V15" s="11">
        <f>-Calculations!T18</f>
        <v>0</v>
      </c>
      <c r="W15" s="11">
        <f>-Calculations!U18</f>
        <v>0</v>
      </c>
      <c r="X15" s="11">
        <f>-Calculations!V18</f>
        <v>0</v>
      </c>
      <c r="Y15" s="11">
        <f>-Calculations!W18</f>
        <v>0</v>
      </c>
      <c r="Z15" s="11">
        <f>-Calculations!X18</f>
        <v>0</v>
      </c>
      <c r="AA15" s="11">
        <f>-Calculations!Y18</f>
        <v>0</v>
      </c>
      <c r="AB15" s="11">
        <f>-Calculations!Z18</f>
        <v>0</v>
      </c>
      <c r="AC15" s="11">
        <f>-Calculations!AA18</f>
        <v>0</v>
      </c>
      <c r="AD15" s="11">
        <f>-Calculations!AB18</f>
        <v>0</v>
      </c>
      <c r="AE15" s="11">
        <f>-Calculations!AC18</f>
        <v>0</v>
      </c>
      <c r="AF15" s="11">
        <f>-Calculations!AD18</f>
        <v>0</v>
      </c>
      <c r="AG15" s="11">
        <f>-Calculations!AE18</f>
        <v>0</v>
      </c>
      <c r="AH15" s="11">
        <f>-Calculations!AF18</f>
        <v>0</v>
      </c>
      <c r="AI15" s="11">
        <f>-Calculations!AG18</f>
        <v>0</v>
      </c>
      <c r="AJ15" s="11"/>
      <c r="AK15" s="11"/>
      <c r="AL15" s="11"/>
      <c r="AM15" s="11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4" s="5" customFormat="1">
      <c r="A16" s="35">
        <f t="shared" si="42"/>
        <v>12</v>
      </c>
      <c r="B16" t="str">
        <f>Calculations!A19</f>
        <v>01040200</v>
      </c>
      <c r="C16" t="s">
        <v>271</v>
      </c>
      <c r="D16" s="11">
        <f>-Calculations!B19</f>
        <v>0</v>
      </c>
      <c r="E16" s="11">
        <f>-Calculations!C19</f>
        <v>0</v>
      </c>
      <c r="F16" s="11">
        <f>-Calculations!D19</f>
        <v>0</v>
      </c>
      <c r="G16" s="11">
        <f>-Calculations!E19</f>
        <v>0</v>
      </c>
      <c r="H16" s="11">
        <f>-Calculations!F19</f>
        <v>0</v>
      </c>
      <c r="I16" s="11">
        <f>-Calculations!G19</f>
        <v>0</v>
      </c>
      <c r="J16" s="11">
        <f>-Calculations!H19</f>
        <v>0</v>
      </c>
      <c r="K16" s="11">
        <f>-Calculations!I19</f>
        <v>0</v>
      </c>
      <c r="L16" s="11">
        <f>-Calculations!J19</f>
        <v>0</v>
      </c>
      <c r="M16" s="11">
        <f>-Calculations!K19</f>
        <v>0</v>
      </c>
      <c r="N16" s="11">
        <f>-Calculations!L19</f>
        <v>0</v>
      </c>
      <c r="O16" s="11">
        <f>-Calculations!M19</f>
        <v>0</v>
      </c>
      <c r="P16" s="11">
        <f>-Calculations!N19</f>
        <v>0</v>
      </c>
      <c r="Q16" s="11">
        <f>-Calculations!O19</f>
        <v>0</v>
      </c>
      <c r="R16" s="11">
        <f>-Calculations!P19</f>
        <v>0</v>
      </c>
      <c r="S16" s="11">
        <f>-Calculations!Q19</f>
        <v>0</v>
      </c>
      <c r="T16" s="11">
        <f>-Calculations!R19</f>
        <v>0</v>
      </c>
      <c r="U16" s="11">
        <f>-Calculations!S19</f>
        <v>0</v>
      </c>
      <c r="V16" s="11">
        <f>-Calculations!T19</f>
        <v>0</v>
      </c>
      <c r="W16" s="11">
        <f>-Calculations!U19</f>
        <v>0</v>
      </c>
      <c r="X16" s="11">
        <f>-Calculations!V19</f>
        <v>316462.44</v>
      </c>
      <c r="Y16" s="11">
        <f>-Calculations!W19</f>
        <v>4424.8500000000004</v>
      </c>
      <c r="Z16" s="11">
        <f>-Calculations!X19</f>
        <v>6548.96</v>
      </c>
      <c r="AA16" s="11">
        <f>-Calculations!Y19</f>
        <v>5546.28</v>
      </c>
      <c r="AB16" s="11">
        <f>-Calculations!Z19</f>
        <v>11867.37</v>
      </c>
      <c r="AC16" s="11">
        <f>-Calculations!AA19</f>
        <v>0</v>
      </c>
      <c r="AD16" s="11">
        <f>-Calculations!AB19</f>
        <v>27276</v>
      </c>
      <c r="AE16" s="11">
        <f>-Calculations!AC19</f>
        <v>-749.09</v>
      </c>
      <c r="AF16" s="11">
        <f>-Calculations!AD19</f>
        <v>0</v>
      </c>
      <c r="AG16" s="11">
        <f>-Calculations!AE19</f>
        <v>0</v>
      </c>
      <c r="AH16" s="11">
        <f>-Calculations!AF19</f>
        <v>0</v>
      </c>
      <c r="AI16" s="11">
        <f>-Calculations!AG19</f>
        <v>0</v>
      </c>
      <c r="AJ16" s="11"/>
      <c r="AK16" s="11"/>
      <c r="AL16" s="11"/>
      <c r="AM16" s="11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s="5" customFormat="1">
      <c r="A17" s="35">
        <f t="shared" si="42"/>
        <v>13</v>
      </c>
      <c r="B17" t="str">
        <f>Calculations!A20</f>
        <v>01040251</v>
      </c>
      <c r="C17" t="s">
        <v>272</v>
      </c>
      <c r="D17" s="11">
        <f>-Calculations!B20</f>
        <v>0</v>
      </c>
      <c r="E17" s="11">
        <f>-Calculations!C20</f>
        <v>0</v>
      </c>
      <c r="F17" s="11">
        <f>-Calculations!D20</f>
        <v>0</v>
      </c>
      <c r="G17" s="11">
        <f>-Calculations!E20</f>
        <v>0</v>
      </c>
      <c r="H17" s="11">
        <f>-Calculations!F20</f>
        <v>102844.65</v>
      </c>
      <c r="I17" s="11">
        <f>-Calculations!G20</f>
        <v>0</v>
      </c>
      <c r="J17" s="11">
        <f>-Calculations!H20</f>
        <v>0</v>
      </c>
      <c r="K17" s="11">
        <f>-Calculations!I20</f>
        <v>0</v>
      </c>
      <c r="L17" s="11">
        <f>-Calculations!J20</f>
        <v>0</v>
      </c>
      <c r="M17" s="11">
        <f>-Calculations!K20</f>
        <v>0</v>
      </c>
      <c r="N17" s="11">
        <f>-Calculations!L20</f>
        <v>0</v>
      </c>
      <c r="O17" s="11">
        <f>-Calculations!M20</f>
        <v>0</v>
      </c>
      <c r="P17" s="11">
        <f>-Calculations!N20</f>
        <v>0</v>
      </c>
      <c r="Q17" s="11">
        <f>-Calculations!O20</f>
        <v>0</v>
      </c>
      <c r="R17" s="11">
        <f>-Calculations!P20</f>
        <v>0</v>
      </c>
      <c r="S17" s="11">
        <f>-Calculations!Q20</f>
        <v>0</v>
      </c>
      <c r="T17" s="11">
        <f>-Calculations!R20</f>
        <v>0</v>
      </c>
      <c r="U17" s="11">
        <f>-Calculations!S20</f>
        <v>0</v>
      </c>
      <c r="V17" s="11">
        <f>-Calculations!T20</f>
        <v>0</v>
      </c>
      <c r="W17" s="11">
        <f>-Calculations!U20</f>
        <v>0</v>
      </c>
      <c r="X17" s="11">
        <f>-Calculations!V20</f>
        <v>0</v>
      </c>
      <c r="Y17" s="11">
        <f>-Calculations!W20</f>
        <v>0</v>
      </c>
      <c r="Z17" s="11">
        <f>-Calculations!X20</f>
        <v>0</v>
      </c>
      <c r="AA17" s="11">
        <f>-Calculations!Y20</f>
        <v>0</v>
      </c>
      <c r="AB17" s="11">
        <f>-Calculations!Z20</f>
        <v>0</v>
      </c>
      <c r="AC17" s="11">
        <f>-Calculations!AA20</f>
        <v>0</v>
      </c>
      <c r="AD17" s="11">
        <f>-Calculations!AB20</f>
        <v>0</v>
      </c>
      <c r="AE17" s="11">
        <f>-Calculations!AC20</f>
        <v>0</v>
      </c>
      <c r="AF17" s="11">
        <f>-Calculations!AD20</f>
        <v>0</v>
      </c>
      <c r="AG17" s="11">
        <f>-Calculations!AE20</f>
        <v>0</v>
      </c>
      <c r="AH17" s="11">
        <f>-Calculations!AF20</f>
        <v>0</v>
      </c>
      <c r="AI17" s="11">
        <f>-Calculations!AG20</f>
        <v>0</v>
      </c>
      <c r="AJ17" s="11"/>
      <c r="AK17" s="11"/>
      <c r="AL17" s="11"/>
      <c r="AM17" s="11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5" customFormat="1">
      <c r="A18" s="35">
        <f t="shared" si="42"/>
        <v>14</v>
      </c>
      <c r="B18" t="str">
        <f>Calculations!A21</f>
        <v>01040277</v>
      </c>
      <c r="C18" t="s">
        <v>203</v>
      </c>
      <c r="D18" s="11">
        <f>-Calculations!B21</f>
        <v>0</v>
      </c>
      <c r="E18" s="11">
        <f>-Calculations!C21</f>
        <v>0</v>
      </c>
      <c r="F18" s="11">
        <f>-Calculations!D21</f>
        <v>135022.32</v>
      </c>
      <c r="G18" s="11">
        <f>-Calculations!E21</f>
        <v>0</v>
      </c>
      <c r="H18" s="11">
        <f>-Calculations!F21</f>
        <v>558295.25</v>
      </c>
      <c r="I18" s="11">
        <f>-Calculations!G21</f>
        <v>636.79</v>
      </c>
      <c r="J18" s="11">
        <f>-Calculations!H21</f>
        <v>4266.7299999999996</v>
      </c>
      <c r="K18" s="11">
        <f>-Calculations!I21</f>
        <v>0</v>
      </c>
      <c r="L18" s="11">
        <f>-Calculations!J21</f>
        <v>0</v>
      </c>
      <c r="M18" s="11">
        <f>-Calculations!K21</f>
        <v>-288132.25</v>
      </c>
      <c r="N18" s="11">
        <f>-Calculations!L21</f>
        <v>242.99</v>
      </c>
      <c r="O18" s="11">
        <f>-Calculations!M21</f>
        <v>30595.25</v>
      </c>
      <c r="P18" s="11">
        <f>-Calculations!N21</f>
        <v>11883.02</v>
      </c>
      <c r="Q18" s="11">
        <f>-Calculations!O21</f>
        <v>0</v>
      </c>
      <c r="R18" s="11">
        <f>-Calculations!P21</f>
        <v>-31881.99</v>
      </c>
      <c r="S18" s="11">
        <f>-Calculations!Q21</f>
        <v>0</v>
      </c>
      <c r="T18" s="11">
        <f>-Calculations!R21</f>
        <v>-2087.6799999999998</v>
      </c>
      <c r="U18" s="11">
        <f>-Calculations!S21</f>
        <v>49.91</v>
      </c>
      <c r="V18" s="11">
        <f>-Calculations!T21</f>
        <v>-4488.92</v>
      </c>
      <c r="W18" s="11">
        <f>-Calculations!U21</f>
        <v>0</v>
      </c>
      <c r="X18" s="11">
        <f>-Calculations!V21</f>
        <v>118.82</v>
      </c>
      <c r="Y18" s="11">
        <f>-Calculations!W21</f>
        <v>0</v>
      </c>
      <c r="Z18" s="11">
        <f>-Calculations!X21</f>
        <v>-3103.96</v>
      </c>
      <c r="AA18" s="11">
        <f>-Calculations!Y21</f>
        <v>0</v>
      </c>
      <c r="AB18" s="11">
        <f>-Calculations!Z21</f>
        <v>2688.28</v>
      </c>
      <c r="AC18" s="11">
        <f>-Calculations!AA21</f>
        <v>0</v>
      </c>
      <c r="AD18" s="11">
        <f>-Calculations!AB21</f>
        <v>0</v>
      </c>
      <c r="AE18" s="11">
        <f>-Calculations!AC21</f>
        <v>0</v>
      </c>
      <c r="AF18" s="11">
        <f>-Calculations!AD21</f>
        <v>0</v>
      </c>
      <c r="AG18" s="11">
        <f>-Calculations!AE21</f>
        <v>0</v>
      </c>
      <c r="AH18" s="11">
        <f>-Calculations!AF21</f>
        <v>0</v>
      </c>
      <c r="AI18" s="11">
        <f>-Calculations!AG21</f>
        <v>0</v>
      </c>
      <c r="AJ18" s="11"/>
      <c r="AK18" s="11"/>
      <c r="AL18" s="11"/>
      <c r="AM18" s="11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5" customFormat="1">
      <c r="A19" s="35">
        <f t="shared" si="42"/>
        <v>15</v>
      </c>
      <c r="B19" t="str">
        <f>Calculations!A22</f>
        <v>01040420</v>
      </c>
      <c r="C19" t="s">
        <v>273</v>
      </c>
      <c r="D19" s="11">
        <f>-Calculations!B22</f>
        <v>0</v>
      </c>
      <c r="E19" s="11">
        <f>-Calculations!C22</f>
        <v>0</v>
      </c>
      <c r="F19" s="11">
        <f>-Calculations!D22</f>
        <v>1988.66</v>
      </c>
      <c r="G19" s="11">
        <f>-Calculations!E22</f>
        <v>0</v>
      </c>
      <c r="H19" s="11">
        <f>-Calculations!F22</f>
        <v>139.21</v>
      </c>
      <c r="I19" s="11">
        <f>-Calculations!G22</f>
        <v>0</v>
      </c>
      <c r="J19" s="11">
        <f>-Calculations!H22</f>
        <v>0</v>
      </c>
      <c r="K19" s="11">
        <f>-Calculations!I22</f>
        <v>0</v>
      </c>
      <c r="L19" s="11">
        <f>-Calculations!J22</f>
        <v>0</v>
      </c>
      <c r="M19" s="11">
        <f>-Calculations!K22</f>
        <v>0</v>
      </c>
      <c r="N19" s="11">
        <f>-Calculations!L22</f>
        <v>0</v>
      </c>
      <c r="O19" s="11">
        <f>-Calculations!M22</f>
        <v>0</v>
      </c>
      <c r="P19" s="11">
        <f>-Calculations!N22</f>
        <v>0</v>
      </c>
      <c r="Q19" s="11">
        <f>-Calculations!O22</f>
        <v>0</v>
      </c>
      <c r="R19" s="11">
        <f>-Calculations!P22</f>
        <v>0</v>
      </c>
      <c r="S19" s="11">
        <f>-Calculations!Q22</f>
        <v>0</v>
      </c>
      <c r="T19" s="11">
        <f>-Calculations!R22</f>
        <v>0</v>
      </c>
      <c r="U19" s="11">
        <f>-Calculations!S22</f>
        <v>0</v>
      </c>
      <c r="V19" s="11">
        <f>-Calculations!T22</f>
        <v>0</v>
      </c>
      <c r="W19" s="11">
        <f>-Calculations!U22</f>
        <v>0</v>
      </c>
      <c r="X19" s="11">
        <f>-Calculations!V22</f>
        <v>0</v>
      </c>
      <c r="Y19" s="11">
        <f>-Calculations!W22</f>
        <v>0</v>
      </c>
      <c r="Z19" s="11">
        <f>-Calculations!X22</f>
        <v>0</v>
      </c>
      <c r="AA19" s="11">
        <f>-Calculations!Y22</f>
        <v>0</v>
      </c>
      <c r="AB19" s="11">
        <f>-Calculations!Z22</f>
        <v>0</v>
      </c>
      <c r="AC19" s="11">
        <f>-Calculations!AA22</f>
        <v>0</v>
      </c>
      <c r="AD19" s="11">
        <f>-Calculations!AB22</f>
        <v>0</v>
      </c>
      <c r="AE19" s="11">
        <f>-Calculations!AC22</f>
        <v>0</v>
      </c>
      <c r="AF19" s="11">
        <f>-Calculations!AD22</f>
        <v>0</v>
      </c>
      <c r="AG19" s="11">
        <f>-Calculations!AE22</f>
        <v>0</v>
      </c>
      <c r="AH19" s="11">
        <f>-Calculations!AF22</f>
        <v>0</v>
      </c>
      <c r="AI19" s="11">
        <f>-Calculations!AG22</f>
        <v>0</v>
      </c>
      <c r="AJ19" s="11"/>
      <c r="AK19" s="11"/>
      <c r="AL19" s="11"/>
      <c r="AM19" s="11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5" customFormat="1">
      <c r="A20" s="35">
        <f t="shared" si="42"/>
        <v>16</v>
      </c>
      <c r="B20" t="str">
        <f>Calculations!A23</f>
        <v>01040493</v>
      </c>
      <c r="C20" t="s">
        <v>274</v>
      </c>
      <c r="D20" s="11">
        <f>-Calculations!B23</f>
        <v>7261.96</v>
      </c>
      <c r="E20" s="11">
        <f>-Calculations!C23</f>
        <v>0</v>
      </c>
      <c r="F20" s="11">
        <f>-Calculations!D23</f>
        <v>355.98</v>
      </c>
      <c r="G20" s="11">
        <f>-Calculations!E23</f>
        <v>0</v>
      </c>
      <c r="H20" s="11">
        <f>-Calculations!F23</f>
        <v>-2276.85</v>
      </c>
      <c r="I20" s="11">
        <f>-Calculations!G23</f>
        <v>0</v>
      </c>
      <c r="J20" s="11">
        <f>-Calculations!H23</f>
        <v>2276.85</v>
      </c>
      <c r="K20" s="11">
        <f>-Calculations!I23</f>
        <v>0</v>
      </c>
      <c r="L20" s="11">
        <f>-Calculations!J23</f>
        <v>0</v>
      </c>
      <c r="M20" s="11">
        <f>-Calculations!K23</f>
        <v>0</v>
      </c>
      <c r="N20" s="11">
        <f>-Calculations!L23</f>
        <v>0</v>
      </c>
      <c r="O20" s="11">
        <f>-Calculations!M23</f>
        <v>0</v>
      </c>
      <c r="P20" s="11">
        <f>-Calculations!N23</f>
        <v>0</v>
      </c>
      <c r="Q20" s="11">
        <f>-Calculations!O23</f>
        <v>0</v>
      </c>
      <c r="R20" s="11">
        <f>-Calculations!P23</f>
        <v>0</v>
      </c>
      <c r="S20" s="11">
        <f>-Calculations!Q23</f>
        <v>0</v>
      </c>
      <c r="T20" s="11">
        <f>-Calculations!R23</f>
        <v>0</v>
      </c>
      <c r="U20" s="11">
        <f>-Calculations!S23</f>
        <v>0</v>
      </c>
      <c r="V20" s="11">
        <f>-Calculations!T23</f>
        <v>0</v>
      </c>
      <c r="W20" s="11">
        <f>-Calculations!U23</f>
        <v>0</v>
      </c>
      <c r="X20" s="11">
        <f>-Calculations!V23</f>
        <v>0</v>
      </c>
      <c r="Y20" s="11">
        <f>-Calculations!W23</f>
        <v>0</v>
      </c>
      <c r="Z20" s="11">
        <f>-Calculations!X23</f>
        <v>0</v>
      </c>
      <c r="AA20" s="11">
        <f>-Calculations!Y23</f>
        <v>0</v>
      </c>
      <c r="AB20" s="11">
        <f>-Calculations!Z23</f>
        <v>0</v>
      </c>
      <c r="AC20" s="11">
        <f>-Calculations!AA23</f>
        <v>0</v>
      </c>
      <c r="AD20" s="11">
        <f>-Calculations!AB23</f>
        <v>0</v>
      </c>
      <c r="AE20" s="11">
        <f>-Calculations!AC23</f>
        <v>0</v>
      </c>
      <c r="AF20" s="11">
        <f>-Calculations!AD23</f>
        <v>0</v>
      </c>
      <c r="AG20" s="11">
        <f>-Calculations!AE23</f>
        <v>0</v>
      </c>
      <c r="AH20" s="11">
        <f>-Calculations!AF23</f>
        <v>0</v>
      </c>
      <c r="AI20" s="11">
        <f>-Calculations!AG23</f>
        <v>0</v>
      </c>
      <c r="AJ20" s="11"/>
      <c r="AK20" s="11"/>
      <c r="AL20" s="11"/>
      <c r="AM20" s="11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5" customFormat="1">
      <c r="A21" s="35">
        <f t="shared" si="42"/>
        <v>17</v>
      </c>
      <c r="B21" t="str">
        <f>Calculations!A24</f>
        <v>01040494</v>
      </c>
      <c r="C21" t="s">
        <v>275</v>
      </c>
      <c r="D21" s="11">
        <f>-Calculations!B24</f>
        <v>0</v>
      </c>
      <c r="E21" s="11">
        <f>-Calculations!C24</f>
        <v>0</v>
      </c>
      <c r="F21" s="11">
        <f>-Calculations!D24</f>
        <v>0</v>
      </c>
      <c r="G21" s="11">
        <f>-Calculations!E24</f>
        <v>0</v>
      </c>
      <c r="H21" s="11">
        <f>-Calculations!F24</f>
        <v>0</v>
      </c>
      <c r="I21" s="11">
        <f>-Calculations!G24</f>
        <v>14430.85</v>
      </c>
      <c r="J21" s="11">
        <f>-Calculations!H24</f>
        <v>0</v>
      </c>
      <c r="K21" s="11">
        <f>-Calculations!I24</f>
        <v>0</v>
      </c>
      <c r="L21" s="11">
        <f>-Calculations!J24</f>
        <v>0</v>
      </c>
      <c r="M21" s="11">
        <f>-Calculations!K24</f>
        <v>0</v>
      </c>
      <c r="N21" s="11">
        <f>-Calculations!L24</f>
        <v>0</v>
      </c>
      <c r="O21" s="11">
        <f>-Calculations!M24</f>
        <v>0</v>
      </c>
      <c r="P21" s="11">
        <f>-Calculations!N24</f>
        <v>0</v>
      </c>
      <c r="Q21" s="11">
        <f>-Calculations!O24</f>
        <v>0</v>
      </c>
      <c r="R21" s="11">
        <f>-Calculations!P24</f>
        <v>0</v>
      </c>
      <c r="S21" s="11">
        <f>-Calculations!Q24</f>
        <v>0</v>
      </c>
      <c r="T21" s="11">
        <f>-Calculations!R24</f>
        <v>0</v>
      </c>
      <c r="U21" s="11">
        <f>-Calculations!S24</f>
        <v>0</v>
      </c>
      <c r="V21" s="11">
        <f>-Calculations!T24</f>
        <v>0</v>
      </c>
      <c r="W21" s="11">
        <f>-Calculations!U24</f>
        <v>0</v>
      </c>
      <c r="X21" s="11">
        <f>-Calculations!V24</f>
        <v>0</v>
      </c>
      <c r="Y21" s="11">
        <f>-Calculations!W24</f>
        <v>0</v>
      </c>
      <c r="Z21" s="11">
        <f>-Calculations!X24</f>
        <v>0</v>
      </c>
      <c r="AA21" s="11">
        <f>-Calculations!Y24</f>
        <v>0</v>
      </c>
      <c r="AB21" s="11">
        <f>-Calculations!Z24</f>
        <v>0</v>
      </c>
      <c r="AC21" s="11">
        <f>-Calculations!AA24</f>
        <v>0</v>
      </c>
      <c r="AD21" s="11">
        <f>-Calculations!AB24</f>
        <v>0</v>
      </c>
      <c r="AE21" s="11">
        <f>-Calculations!AC24</f>
        <v>0</v>
      </c>
      <c r="AF21" s="11">
        <f>-Calculations!AD24</f>
        <v>0</v>
      </c>
      <c r="AG21" s="11">
        <f>-Calculations!AE24</f>
        <v>0</v>
      </c>
      <c r="AH21" s="11">
        <f>-Calculations!AF24</f>
        <v>0</v>
      </c>
      <c r="AI21" s="11">
        <f>-Calculations!AG24</f>
        <v>0</v>
      </c>
      <c r="AJ21" s="11"/>
      <c r="AK21" s="11"/>
      <c r="AL21" s="11"/>
      <c r="AM21" s="11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5" customFormat="1">
      <c r="A22" s="35">
        <f t="shared" si="42"/>
        <v>18</v>
      </c>
      <c r="B22" t="str">
        <f>Calculations!A25</f>
        <v>01040864</v>
      </c>
      <c r="C22" t="s">
        <v>276</v>
      </c>
      <c r="D22" s="11">
        <f>-Calculations!B25</f>
        <v>0</v>
      </c>
      <c r="E22" s="11">
        <f>-Calculations!C25</f>
        <v>0</v>
      </c>
      <c r="F22" s="11">
        <f>-Calculations!D25</f>
        <v>0</v>
      </c>
      <c r="G22" s="11">
        <f>-Calculations!E25</f>
        <v>243.96</v>
      </c>
      <c r="H22" s="11">
        <f>-Calculations!F25</f>
        <v>0</v>
      </c>
      <c r="I22" s="11">
        <f>-Calculations!G25</f>
        <v>0</v>
      </c>
      <c r="J22" s="11">
        <f>-Calculations!H25</f>
        <v>0</v>
      </c>
      <c r="K22" s="11">
        <f>-Calculations!I25</f>
        <v>0</v>
      </c>
      <c r="L22" s="11">
        <f>-Calculations!J25</f>
        <v>0</v>
      </c>
      <c r="M22" s="11">
        <f>-Calculations!K25</f>
        <v>0</v>
      </c>
      <c r="N22" s="11">
        <f>-Calculations!L25</f>
        <v>0</v>
      </c>
      <c r="O22" s="11">
        <f>-Calculations!M25</f>
        <v>0</v>
      </c>
      <c r="P22" s="11">
        <f>-Calculations!N25</f>
        <v>105357.5</v>
      </c>
      <c r="Q22" s="11">
        <f>-Calculations!O25</f>
        <v>0</v>
      </c>
      <c r="R22" s="11">
        <f>-Calculations!P25</f>
        <v>0</v>
      </c>
      <c r="S22" s="11">
        <f>-Calculations!Q25</f>
        <v>0</v>
      </c>
      <c r="T22" s="11">
        <f>-Calculations!R25</f>
        <v>0</v>
      </c>
      <c r="U22" s="11">
        <f>-Calculations!S25</f>
        <v>0</v>
      </c>
      <c r="V22" s="11">
        <f>-Calculations!T25</f>
        <v>0</v>
      </c>
      <c r="W22" s="11">
        <f>-Calculations!U25</f>
        <v>0</v>
      </c>
      <c r="X22" s="11">
        <f>-Calculations!V25</f>
        <v>0</v>
      </c>
      <c r="Y22" s="11">
        <f>-Calculations!W25</f>
        <v>0</v>
      </c>
      <c r="Z22" s="11">
        <f>-Calculations!X25</f>
        <v>0</v>
      </c>
      <c r="AA22" s="11">
        <f>-Calculations!Y25</f>
        <v>0</v>
      </c>
      <c r="AB22" s="11">
        <f>-Calculations!Z25</f>
        <v>0</v>
      </c>
      <c r="AC22" s="11">
        <f>-Calculations!AA25</f>
        <v>0</v>
      </c>
      <c r="AD22" s="11">
        <f>-Calculations!AB25</f>
        <v>0</v>
      </c>
      <c r="AE22" s="11">
        <f>-Calculations!AC25</f>
        <v>0</v>
      </c>
      <c r="AF22" s="11">
        <f>-Calculations!AD25</f>
        <v>0</v>
      </c>
      <c r="AG22" s="11">
        <f>-Calculations!AE25</f>
        <v>0</v>
      </c>
      <c r="AH22" s="11">
        <f>-Calculations!AF25</f>
        <v>0</v>
      </c>
      <c r="AI22" s="11">
        <f>-Calculations!AG25</f>
        <v>0</v>
      </c>
      <c r="AJ22" s="11"/>
      <c r="AK22" s="11"/>
      <c r="AL22" s="11"/>
      <c r="AM22" s="11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5" customFormat="1">
      <c r="A23" s="35">
        <f t="shared" si="42"/>
        <v>19</v>
      </c>
      <c r="B23" t="str">
        <f>Calculations!A26</f>
        <v>01040999</v>
      </c>
      <c r="C23" t="s">
        <v>277</v>
      </c>
      <c r="D23" s="11">
        <f>-Calculations!B26</f>
        <v>0</v>
      </c>
      <c r="E23" s="11">
        <f>-Calculations!C26</f>
        <v>75135.5</v>
      </c>
      <c r="F23" s="11">
        <f>-Calculations!D26</f>
        <v>856</v>
      </c>
      <c r="G23" s="11">
        <f>-Calculations!E26</f>
        <v>0</v>
      </c>
      <c r="H23" s="11">
        <f>-Calculations!F26</f>
        <v>143.81</v>
      </c>
      <c r="I23" s="11">
        <f>-Calculations!G26</f>
        <v>0</v>
      </c>
      <c r="J23" s="11">
        <f>-Calculations!H26</f>
        <v>0</v>
      </c>
      <c r="K23" s="11">
        <f>-Calculations!I26</f>
        <v>0</v>
      </c>
      <c r="L23" s="11">
        <f>-Calculations!J26</f>
        <v>0</v>
      </c>
      <c r="M23" s="11">
        <f>-Calculations!K26</f>
        <v>0</v>
      </c>
      <c r="N23" s="11">
        <f>-Calculations!L26</f>
        <v>0</v>
      </c>
      <c r="O23" s="11">
        <f>-Calculations!M26</f>
        <v>0</v>
      </c>
      <c r="P23" s="11">
        <f>-Calculations!N26</f>
        <v>0</v>
      </c>
      <c r="Q23" s="11">
        <f>-Calculations!O26</f>
        <v>0</v>
      </c>
      <c r="R23" s="11">
        <f>-Calculations!P26</f>
        <v>0</v>
      </c>
      <c r="S23" s="11">
        <f>-Calculations!Q26</f>
        <v>0</v>
      </c>
      <c r="T23" s="11">
        <f>-Calculations!R26</f>
        <v>0</v>
      </c>
      <c r="U23" s="11">
        <f>-Calculations!S26</f>
        <v>0</v>
      </c>
      <c r="V23" s="11">
        <f>-Calculations!T26</f>
        <v>0</v>
      </c>
      <c r="W23" s="11">
        <f>-Calculations!U26</f>
        <v>0</v>
      </c>
      <c r="X23" s="11">
        <f>-Calculations!V26</f>
        <v>0</v>
      </c>
      <c r="Y23" s="11">
        <f>-Calculations!W26</f>
        <v>0</v>
      </c>
      <c r="Z23" s="11">
        <f>-Calculations!X26</f>
        <v>0</v>
      </c>
      <c r="AA23" s="11">
        <f>-Calculations!Y26</f>
        <v>0</v>
      </c>
      <c r="AB23" s="11">
        <f>-Calculations!Z26</f>
        <v>0</v>
      </c>
      <c r="AC23" s="11">
        <f>-Calculations!AA26</f>
        <v>0</v>
      </c>
      <c r="AD23" s="11">
        <f>-Calculations!AB26</f>
        <v>0</v>
      </c>
      <c r="AE23" s="11">
        <f>-Calculations!AC26</f>
        <v>0</v>
      </c>
      <c r="AF23" s="11">
        <f>-Calculations!AD26</f>
        <v>0</v>
      </c>
      <c r="AG23" s="11">
        <f>-Calculations!AE26</f>
        <v>0</v>
      </c>
      <c r="AH23" s="11">
        <f>-Calculations!AF26</f>
        <v>0</v>
      </c>
      <c r="AI23" s="11">
        <f>-Calculations!AG26</f>
        <v>0</v>
      </c>
      <c r="AJ23" s="11"/>
      <c r="AK23" s="11"/>
      <c r="AL23" s="11"/>
      <c r="AM23" s="11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5" customFormat="1">
      <c r="A24" s="35">
        <f t="shared" si="42"/>
        <v>20</v>
      </c>
      <c r="B24" t="str">
        <f>Calculations!A27</f>
        <v>01041006</v>
      </c>
      <c r="C24" t="s">
        <v>278</v>
      </c>
      <c r="D24" s="11">
        <f>-Calculations!B27</f>
        <v>0</v>
      </c>
      <c r="E24" s="11">
        <f>-Calculations!C27</f>
        <v>0</v>
      </c>
      <c r="F24" s="11">
        <f>-Calculations!D27</f>
        <v>0</v>
      </c>
      <c r="G24" s="11">
        <f>-Calculations!E27</f>
        <v>0</v>
      </c>
      <c r="H24" s="11">
        <f>-Calculations!F27</f>
        <v>0</v>
      </c>
      <c r="I24" s="11">
        <f>-Calculations!G27</f>
        <v>0</v>
      </c>
      <c r="J24" s="11">
        <f>-Calculations!H27</f>
        <v>0</v>
      </c>
      <c r="K24" s="11">
        <f>-Calculations!I27</f>
        <v>0</v>
      </c>
      <c r="L24" s="11">
        <f>-Calculations!J27</f>
        <v>0</v>
      </c>
      <c r="M24" s="11">
        <f>-Calculations!K27</f>
        <v>0</v>
      </c>
      <c r="N24" s="11">
        <f>-Calculations!L27</f>
        <v>0</v>
      </c>
      <c r="O24" s="11">
        <f>-Calculations!M27</f>
        <v>6384</v>
      </c>
      <c r="P24" s="11">
        <f>-Calculations!N27</f>
        <v>0</v>
      </c>
      <c r="Q24" s="11">
        <f>-Calculations!O27</f>
        <v>0</v>
      </c>
      <c r="R24" s="11">
        <f>-Calculations!P27</f>
        <v>0</v>
      </c>
      <c r="S24" s="11">
        <f>-Calculations!Q27</f>
        <v>0</v>
      </c>
      <c r="T24" s="11">
        <f>-Calculations!R27</f>
        <v>0</v>
      </c>
      <c r="U24" s="11">
        <f>-Calculations!S27</f>
        <v>0</v>
      </c>
      <c r="V24" s="11">
        <f>-Calculations!T27</f>
        <v>0</v>
      </c>
      <c r="W24" s="11">
        <f>-Calculations!U27</f>
        <v>0</v>
      </c>
      <c r="X24" s="11">
        <f>-Calculations!V27</f>
        <v>0</v>
      </c>
      <c r="Y24" s="11">
        <f>-Calculations!W27</f>
        <v>0</v>
      </c>
      <c r="Z24" s="11">
        <f>-Calculations!X27</f>
        <v>0</v>
      </c>
      <c r="AA24" s="11">
        <f>-Calculations!Y27</f>
        <v>0</v>
      </c>
      <c r="AB24" s="11">
        <f>-Calculations!Z27</f>
        <v>0</v>
      </c>
      <c r="AC24" s="11">
        <f>-Calculations!AA27</f>
        <v>0</v>
      </c>
      <c r="AD24" s="11">
        <f>-Calculations!AB27</f>
        <v>0</v>
      </c>
      <c r="AE24" s="11">
        <f>-Calculations!AC27</f>
        <v>0</v>
      </c>
      <c r="AF24" s="11">
        <f>-Calculations!AD27</f>
        <v>0</v>
      </c>
      <c r="AG24" s="11">
        <f>-Calculations!AE27</f>
        <v>0</v>
      </c>
      <c r="AH24" s="11">
        <f>-Calculations!AF27</f>
        <v>0</v>
      </c>
      <c r="AI24" s="11">
        <f>-Calculations!AG27</f>
        <v>0</v>
      </c>
      <c r="AJ24" s="11"/>
      <c r="AK24" s="11"/>
      <c r="AL24" s="11"/>
      <c r="AM24" s="11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5" customFormat="1">
      <c r="A25" s="35">
        <f t="shared" si="42"/>
        <v>21</v>
      </c>
      <c r="B25" t="str">
        <f>Calculations!A28</f>
        <v>01041007</v>
      </c>
      <c r="C25" t="s">
        <v>279</v>
      </c>
      <c r="D25" s="11">
        <f>-Calculations!B28</f>
        <v>0</v>
      </c>
      <c r="E25" s="11">
        <f>-Calculations!C28</f>
        <v>0</v>
      </c>
      <c r="F25" s="11">
        <f>-Calculations!D28</f>
        <v>0</v>
      </c>
      <c r="G25" s="11">
        <f>-Calculations!E28</f>
        <v>0</v>
      </c>
      <c r="H25" s="11">
        <f>-Calculations!F28</f>
        <v>0</v>
      </c>
      <c r="I25" s="11">
        <f>-Calculations!G28</f>
        <v>0</v>
      </c>
      <c r="J25" s="11">
        <f>-Calculations!H28</f>
        <v>0</v>
      </c>
      <c r="K25" s="11">
        <f>-Calculations!I28</f>
        <v>0</v>
      </c>
      <c r="L25" s="11">
        <f>-Calculations!J28</f>
        <v>0</v>
      </c>
      <c r="M25" s="11">
        <f>-Calculations!K28</f>
        <v>0</v>
      </c>
      <c r="N25" s="11">
        <f>-Calculations!L28</f>
        <v>0</v>
      </c>
      <c r="O25" s="11">
        <f>-Calculations!M28</f>
        <v>2095.98</v>
      </c>
      <c r="P25" s="11">
        <f>-Calculations!N28</f>
        <v>0</v>
      </c>
      <c r="Q25" s="11">
        <f>-Calculations!O28</f>
        <v>0</v>
      </c>
      <c r="R25" s="11">
        <f>-Calculations!P28</f>
        <v>0</v>
      </c>
      <c r="S25" s="11">
        <f>-Calculations!Q28</f>
        <v>0</v>
      </c>
      <c r="T25" s="11">
        <f>-Calculations!R28</f>
        <v>0</v>
      </c>
      <c r="U25" s="11">
        <f>-Calculations!S28</f>
        <v>0</v>
      </c>
      <c r="V25" s="11">
        <f>-Calculations!T28</f>
        <v>0</v>
      </c>
      <c r="W25" s="11">
        <f>-Calculations!U28</f>
        <v>0</v>
      </c>
      <c r="X25" s="11">
        <f>-Calculations!V28</f>
        <v>0</v>
      </c>
      <c r="Y25" s="11">
        <f>-Calculations!W28</f>
        <v>0</v>
      </c>
      <c r="Z25" s="11">
        <f>-Calculations!X28</f>
        <v>0</v>
      </c>
      <c r="AA25" s="11">
        <f>-Calculations!Y28</f>
        <v>0</v>
      </c>
      <c r="AB25" s="11">
        <f>-Calculations!Z28</f>
        <v>0</v>
      </c>
      <c r="AC25" s="11">
        <f>-Calculations!AA28</f>
        <v>0</v>
      </c>
      <c r="AD25" s="11">
        <f>-Calculations!AB28</f>
        <v>0</v>
      </c>
      <c r="AE25" s="11">
        <f>-Calculations!AC28</f>
        <v>0</v>
      </c>
      <c r="AF25" s="11">
        <f>-Calculations!AD28</f>
        <v>0</v>
      </c>
      <c r="AG25" s="11">
        <f>-Calculations!AE28</f>
        <v>0</v>
      </c>
      <c r="AH25" s="11">
        <f>-Calculations!AF28</f>
        <v>0</v>
      </c>
      <c r="AI25" s="11">
        <f>-Calculations!AG28</f>
        <v>0</v>
      </c>
      <c r="AJ25" s="11"/>
      <c r="AK25" s="11"/>
      <c r="AL25" s="11"/>
      <c r="AM25" s="11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5" customFormat="1">
      <c r="A26" s="35">
        <f t="shared" si="42"/>
        <v>22</v>
      </c>
      <c r="B26" t="str">
        <f>Calculations!A29</f>
        <v>01041081</v>
      </c>
      <c r="C26" t="s">
        <v>280</v>
      </c>
      <c r="D26" s="11">
        <f>-Calculations!B29</f>
        <v>0</v>
      </c>
      <c r="E26" s="11">
        <f>-Calculations!C29</f>
        <v>387067.05</v>
      </c>
      <c r="F26" s="11">
        <f>-Calculations!D29</f>
        <v>408.49</v>
      </c>
      <c r="G26" s="11">
        <f>-Calculations!E29</f>
        <v>0</v>
      </c>
      <c r="H26" s="11">
        <f>-Calculations!F29</f>
        <v>1605</v>
      </c>
      <c r="I26" s="11">
        <f>-Calculations!G29</f>
        <v>0</v>
      </c>
      <c r="J26" s="11">
        <f>-Calculations!H29</f>
        <v>0</v>
      </c>
      <c r="K26" s="11">
        <f>-Calculations!I29</f>
        <v>0</v>
      </c>
      <c r="L26" s="11">
        <f>-Calculations!J29</f>
        <v>0</v>
      </c>
      <c r="M26" s="11">
        <f>-Calculations!K29</f>
        <v>0</v>
      </c>
      <c r="N26" s="11">
        <f>-Calculations!L29</f>
        <v>0</v>
      </c>
      <c r="O26" s="11">
        <f>-Calculations!M29</f>
        <v>0</v>
      </c>
      <c r="P26" s="11">
        <f>-Calculations!N29</f>
        <v>0</v>
      </c>
      <c r="Q26" s="11">
        <f>-Calculations!O29</f>
        <v>0</v>
      </c>
      <c r="R26" s="11">
        <f>-Calculations!P29</f>
        <v>0</v>
      </c>
      <c r="S26" s="11">
        <f>-Calculations!Q29</f>
        <v>0</v>
      </c>
      <c r="T26" s="11">
        <f>-Calculations!R29</f>
        <v>0</v>
      </c>
      <c r="U26" s="11">
        <f>-Calculations!S29</f>
        <v>0</v>
      </c>
      <c r="V26" s="11">
        <f>-Calculations!T29</f>
        <v>0</v>
      </c>
      <c r="W26" s="11">
        <f>-Calculations!U29</f>
        <v>0</v>
      </c>
      <c r="X26" s="11">
        <f>-Calculations!V29</f>
        <v>0</v>
      </c>
      <c r="Y26" s="11">
        <f>-Calculations!W29</f>
        <v>0</v>
      </c>
      <c r="Z26" s="11">
        <f>-Calculations!X29</f>
        <v>0</v>
      </c>
      <c r="AA26" s="11">
        <f>-Calculations!Y29</f>
        <v>0</v>
      </c>
      <c r="AB26" s="11">
        <f>-Calculations!Z29</f>
        <v>0</v>
      </c>
      <c r="AC26" s="11">
        <f>-Calculations!AA29</f>
        <v>0</v>
      </c>
      <c r="AD26" s="11">
        <f>-Calculations!AB29</f>
        <v>0</v>
      </c>
      <c r="AE26" s="11">
        <f>-Calculations!AC29</f>
        <v>0</v>
      </c>
      <c r="AF26" s="11">
        <f>-Calculations!AD29</f>
        <v>0</v>
      </c>
      <c r="AG26" s="11">
        <f>-Calculations!AE29</f>
        <v>0</v>
      </c>
      <c r="AH26" s="11">
        <f>-Calculations!AF29</f>
        <v>0</v>
      </c>
      <c r="AI26" s="11">
        <f>-Calculations!AG29</f>
        <v>0</v>
      </c>
      <c r="AJ26" s="11"/>
      <c r="AK26" s="11"/>
      <c r="AL26" s="11"/>
      <c r="AM26" s="11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5" customFormat="1">
      <c r="A27" s="35">
        <f t="shared" si="42"/>
        <v>23</v>
      </c>
      <c r="B27" t="str">
        <f>Calculations!A30</f>
        <v>01041173</v>
      </c>
      <c r="C27" t="s">
        <v>281</v>
      </c>
      <c r="D27" s="11">
        <f>-Calculations!B30</f>
        <v>0</v>
      </c>
      <c r="E27" s="11">
        <f>-Calculations!C30</f>
        <v>0</v>
      </c>
      <c r="F27" s="11">
        <f>-Calculations!D30</f>
        <v>0</v>
      </c>
      <c r="G27" s="11">
        <f>-Calculations!E30</f>
        <v>0</v>
      </c>
      <c r="H27" s="11">
        <f>-Calculations!F30</f>
        <v>0</v>
      </c>
      <c r="I27" s="11">
        <f>-Calculations!G30</f>
        <v>0</v>
      </c>
      <c r="J27" s="11">
        <f>-Calculations!H30</f>
        <v>0</v>
      </c>
      <c r="K27" s="11">
        <f>-Calculations!I30</f>
        <v>0</v>
      </c>
      <c r="L27" s="11">
        <f>-Calculations!J30</f>
        <v>0</v>
      </c>
      <c r="M27" s="11">
        <f>-Calculations!K30</f>
        <v>0</v>
      </c>
      <c r="N27" s="11">
        <f>-Calculations!L30</f>
        <v>0</v>
      </c>
      <c r="O27" s="11">
        <f>-Calculations!M30</f>
        <v>0</v>
      </c>
      <c r="P27" s="11">
        <f>-Calculations!N30</f>
        <v>0</v>
      </c>
      <c r="Q27" s="11">
        <f>-Calculations!O30</f>
        <v>0</v>
      </c>
      <c r="R27" s="11">
        <f>-Calculations!P30</f>
        <v>0</v>
      </c>
      <c r="S27" s="11">
        <f>-Calculations!Q30</f>
        <v>0</v>
      </c>
      <c r="T27" s="11">
        <f>-Calculations!R30</f>
        <v>0</v>
      </c>
      <c r="U27" s="11">
        <f>-Calculations!S30</f>
        <v>1486305.31</v>
      </c>
      <c r="V27" s="11">
        <f>-Calculations!T30</f>
        <v>-8710.26</v>
      </c>
      <c r="W27" s="11">
        <f>-Calculations!U30</f>
        <v>17878.419999999998</v>
      </c>
      <c r="X27" s="11">
        <f>-Calculations!V30</f>
        <v>-2656.09</v>
      </c>
      <c r="Y27" s="11">
        <f>-Calculations!W30</f>
        <v>0</v>
      </c>
      <c r="Z27" s="11">
        <f>-Calculations!X30</f>
        <v>0</v>
      </c>
      <c r="AA27" s="11">
        <f>-Calculations!Y30</f>
        <v>0</v>
      </c>
      <c r="AB27" s="11">
        <f>-Calculations!Z30</f>
        <v>0</v>
      </c>
      <c r="AC27" s="11">
        <f>-Calculations!AA30</f>
        <v>0</v>
      </c>
      <c r="AD27" s="11">
        <f>-Calculations!AB30</f>
        <v>0</v>
      </c>
      <c r="AE27" s="11">
        <f>-Calculations!AC30</f>
        <v>0</v>
      </c>
      <c r="AF27" s="11">
        <f>-Calculations!AD30</f>
        <v>0</v>
      </c>
      <c r="AG27" s="11">
        <f>-Calculations!AE30</f>
        <v>0</v>
      </c>
      <c r="AH27" s="11">
        <f>-Calculations!AF30</f>
        <v>0</v>
      </c>
      <c r="AI27" s="11">
        <f>-Calculations!AG30</f>
        <v>0</v>
      </c>
      <c r="AJ27" s="11"/>
      <c r="AK27" s="11"/>
      <c r="AL27" s="11"/>
      <c r="AM27" s="1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5" customFormat="1">
      <c r="A28" s="35">
        <f t="shared" si="42"/>
        <v>24</v>
      </c>
      <c r="B28" t="str">
        <f>Calculations!A31</f>
        <v>01041175</v>
      </c>
      <c r="C28" t="s">
        <v>282</v>
      </c>
      <c r="D28" s="11">
        <f>-Calculations!B31</f>
        <v>0</v>
      </c>
      <c r="E28" s="11">
        <f>-Calculations!C31</f>
        <v>0</v>
      </c>
      <c r="F28" s="11">
        <f>-Calculations!D31</f>
        <v>0</v>
      </c>
      <c r="G28" s="11">
        <f>-Calculations!E31</f>
        <v>0</v>
      </c>
      <c r="H28" s="11">
        <f>-Calculations!F31</f>
        <v>0</v>
      </c>
      <c r="I28" s="11">
        <f>-Calculations!G31</f>
        <v>0</v>
      </c>
      <c r="J28" s="11">
        <f>-Calculations!H31</f>
        <v>0</v>
      </c>
      <c r="K28" s="11">
        <f>-Calculations!I31</f>
        <v>0</v>
      </c>
      <c r="L28" s="11">
        <f>-Calculations!J31</f>
        <v>0</v>
      </c>
      <c r="M28" s="11">
        <f>-Calculations!K31</f>
        <v>17283478.530000001</v>
      </c>
      <c r="N28" s="11">
        <f>-Calculations!L31</f>
        <v>1054702.17</v>
      </c>
      <c r="O28" s="11">
        <f>-Calculations!M31</f>
        <v>0</v>
      </c>
      <c r="P28" s="11">
        <f>-Calculations!N31</f>
        <v>0</v>
      </c>
      <c r="Q28" s="11">
        <f>-Calculations!O31</f>
        <v>665779.84</v>
      </c>
      <c r="R28" s="11">
        <f>-Calculations!P31</f>
        <v>10621.59</v>
      </c>
      <c r="S28" s="11">
        <f>-Calculations!Q31</f>
        <v>11326.17</v>
      </c>
      <c r="T28" s="11">
        <f>-Calculations!R31</f>
        <v>14533.14</v>
      </c>
      <c r="U28" s="11">
        <f>-Calculations!S31</f>
        <v>35317</v>
      </c>
      <c r="V28" s="11">
        <f>-Calculations!T31</f>
        <v>51000.89</v>
      </c>
      <c r="W28" s="11">
        <f>-Calculations!U31</f>
        <v>39638.47</v>
      </c>
      <c r="X28" s="11">
        <f>-Calculations!V31</f>
        <v>0</v>
      </c>
      <c r="Y28" s="11">
        <f>-Calculations!W31</f>
        <v>0</v>
      </c>
      <c r="Z28" s="11">
        <f>-Calculations!X31</f>
        <v>0</v>
      </c>
      <c r="AA28" s="11">
        <f>-Calculations!Y31</f>
        <v>0</v>
      </c>
      <c r="AB28" s="11">
        <f>-Calculations!Z31</f>
        <v>0</v>
      </c>
      <c r="AC28" s="11">
        <f>-Calculations!AA31</f>
        <v>0</v>
      </c>
      <c r="AD28" s="11">
        <f>-Calculations!AB31</f>
        <v>0</v>
      </c>
      <c r="AE28" s="11">
        <f>-Calculations!AC31</f>
        <v>-30260.66</v>
      </c>
      <c r="AF28" s="11">
        <f>-Calculations!AD31</f>
        <v>0</v>
      </c>
      <c r="AG28" s="11">
        <f>-Calculations!AE31</f>
        <v>1127.79</v>
      </c>
      <c r="AH28" s="11">
        <f>-Calculations!AF31</f>
        <v>0</v>
      </c>
      <c r="AI28" s="11">
        <f>-Calculations!AG31</f>
        <v>0</v>
      </c>
      <c r="AJ28" s="11"/>
      <c r="AK28" s="11"/>
      <c r="AL28" s="11"/>
      <c r="AM28" s="11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5" customFormat="1">
      <c r="A29" s="35">
        <f t="shared" si="42"/>
        <v>25</v>
      </c>
      <c r="B29" t="str">
        <f>Calculations!A32</f>
        <v>01041176</v>
      </c>
      <c r="C29" t="s">
        <v>234</v>
      </c>
      <c r="D29" s="11">
        <f>-Calculations!B32</f>
        <v>0</v>
      </c>
      <c r="E29" s="11">
        <f>-Calculations!C32</f>
        <v>0</v>
      </c>
      <c r="F29" s="11">
        <f>-Calculations!D32</f>
        <v>0</v>
      </c>
      <c r="G29" s="11">
        <f>-Calculations!E32</f>
        <v>0</v>
      </c>
      <c r="H29" s="11">
        <f>-Calculations!F32</f>
        <v>0</v>
      </c>
      <c r="I29" s="11">
        <f>-Calculations!G32</f>
        <v>0</v>
      </c>
      <c r="J29" s="11">
        <f>-Calculations!H32</f>
        <v>0</v>
      </c>
      <c r="K29" s="11">
        <f>-Calculations!I32</f>
        <v>0</v>
      </c>
      <c r="L29" s="11">
        <f>-Calculations!J32</f>
        <v>0</v>
      </c>
      <c r="M29" s="11">
        <f>-Calculations!K32</f>
        <v>2943420.0900000003</v>
      </c>
      <c r="N29" s="11">
        <f>-Calculations!L32</f>
        <v>0</v>
      </c>
      <c r="O29" s="11">
        <f>-Calculations!M32</f>
        <v>0</v>
      </c>
      <c r="P29" s="11">
        <f>-Calculations!N32</f>
        <v>0</v>
      </c>
      <c r="Q29" s="11">
        <f>-Calculations!O32</f>
        <v>0</v>
      </c>
      <c r="R29" s="11">
        <f>-Calculations!P32</f>
        <v>0</v>
      </c>
      <c r="S29" s="11">
        <f>-Calculations!Q32</f>
        <v>0</v>
      </c>
      <c r="T29" s="11">
        <f>-Calculations!R32</f>
        <v>0</v>
      </c>
      <c r="U29" s="11">
        <f>-Calculations!S32</f>
        <v>1418146.14</v>
      </c>
      <c r="V29" s="11">
        <f>-Calculations!T32</f>
        <v>10317.48</v>
      </c>
      <c r="W29" s="11">
        <f>-Calculations!U32</f>
        <v>-258.49</v>
      </c>
      <c r="X29" s="11">
        <f>-Calculations!V32</f>
        <v>0</v>
      </c>
      <c r="Y29" s="11">
        <f>-Calculations!W32</f>
        <v>42.38</v>
      </c>
      <c r="Z29" s="11">
        <f>-Calculations!X32</f>
        <v>0</v>
      </c>
      <c r="AA29" s="11">
        <f>-Calculations!Y32</f>
        <v>0</v>
      </c>
      <c r="AB29" s="11">
        <f>-Calculations!Z32</f>
        <v>0</v>
      </c>
      <c r="AC29" s="11">
        <f>-Calculations!AA32</f>
        <v>0</v>
      </c>
      <c r="AD29" s="11">
        <f>-Calculations!AB32</f>
        <v>0</v>
      </c>
      <c r="AE29" s="11">
        <f>-Calculations!AC32</f>
        <v>0</v>
      </c>
      <c r="AF29" s="11">
        <f>-Calculations!AD32</f>
        <v>0</v>
      </c>
      <c r="AG29" s="11">
        <f>-Calculations!AE32</f>
        <v>0</v>
      </c>
      <c r="AH29" s="11">
        <f>-Calculations!AF32</f>
        <v>0</v>
      </c>
      <c r="AI29" s="11">
        <f>-Calculations!AG32</f>
        <v>0</v>
      </c>
      <c r="AJ29" s="11"/>
      <c r="AK29" s="11"/>
      <c r="AL29" s="11"/>
      <c r="AM29" s="11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5" customFormat="1">
      <c r="A30" s="35">
        <f>A29+1</f>
        <v>26</v>
      </c>
      <c r="B30" t="str">
        <f>Calculations!A33</f>
        <v>01041178</v>
      </c>
      <c r="C30" t="s">
        <v>283</v>
      </c>
      <c r="D30" s="11">
        <f>-Calculations!B33</f>
        <v>0</v>
      </c>
      <c r="E30" s="11">
        <f>-Calculations!C33</f>
        <v>0</v>
      </c>
      <c r="F30" s="11">
        <f>-Calculations!D33</f>
        <v>0</v>
      </c>
      <c r="G30" s="11">
        <f>-Calculations!E33</f>
        <v>0</v>
      </c>
      <c r="H30" s="11">
        <f>-Calculations!F33</f>
        <v>0</v>
      </c>
      <c r="I30" s="11">
        <f>-Calculations!G33</f>
        <v>0</v>
      </c>
      <c r="J30" s="11">
        <f>-Calculations!H33</f>
        <v>0</v>
      </c>
      <c r="K30" s="11">
        <f>-Calculations!I33</f>
        <v>0</v>
      </c>
      <c r="L30" s="11">
        <f>-Calculations!J33</f>
        <v>0</v>
      </c>
      <c r="M30" s="11">
        <f>-Calculations!K33</f>
        <v>0</v>
      </c>
      <c r="N30" s="11">
        <f>-Calculations!L33</f>
        <v>0</v>
      </c>
      <c r="O30" s="11">
        <f>-Calculations!M33</f>
        <v>0</v>
      </c>
      <c r="P30" s="11">
        <f>-Calculations!N33</f>
        <v>0</v>
      </c>
      <c r="Q30" s="11">
        <f>-Calculations!O33</f>
        <v>0</v>
      </c>
      <c r="R30" s="11">
        <f>-Calculations!P33</f>
        <v>0</v>
      </c>
      <c r="S30" s="11">
        <f>-Calculations!Q33</f>
        <v>0</v>
      </c>
      <c r="T30" s="11">
        <f>-Calculations!R33</f>
        <v>0</v>
      </c>
      <c r="U30" s="11">
        <f>-Calculations!S33</f>
        <v>0</v>
      </c>
      <c r="V30" s="11">
        <f>-Calculations!T33</f>
        <v>0</v>
      </c>
      <c r="W30" s="11">
        <f>-Calculations!U33</f>
        <v>0</v>
      </c>
      <c r="X30" s="11">
        <f>-Calculations!V33</f>
        <v>13580970.73</v>
      </c>
      <c r="Y30" s="11">
        <f>-Calculations!W33</f>
        <v>48537.240000000005</v>
      </c>
      <c r="Z30" s="11">
        <f>-Calculations!X33</f>
        <v>0</v>
      </c>
      <c r="AA30" s="11">
        <f>-Calculations!Y33</f>
        <v>-6285.41</v>
      </c>
      <c r="AB30" s="11">
        <f>-Calculations!Z33</f>
        <v>57484.75</v>
      </c>
      <c r="AC30" s="11">
        <f>-Calculations!AA33</f>
        <v>-22501.89</v>
      </c>
      <c r="AD30" s="11">
        <f>-Calculations!AB33</f>
        <v>870.51</v>
      </c>
      <c r="AE30" s="11">
        <f>-Calculations!AC33</f>
        <v>-161944.57999999999</v>
      </c>
      <c r="AF30" s="11">
        <f>-Calculations!AD33</f>
        <v>0</v>
      </c>
      <c r="AG30" s="11">
        <f>-Calculations!AE33</f>
        <v>-2920.54</v>
      </c>
      <c r="AH30" s="11">
        <f>-Calculations!AF33</f>
        <v>0</v>
      </c>
      <c r="AI30" s="11">
        <f>-Calculations!AG33</f>
        <v>0</v>
      </c>
      <c r="AJ30" s="11"/>
      <c r="AK30" s="11"/>
      <c r="AL30" s="11"/>
      <c r="AM30" s="11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5" customFormat="1">
      <c r="A31" s="35">
        <f t="shared" si="42"/>
        <v>27</v>
      </c>
      <c r="B31" t="str">
        <f>Calculations!A34</f>
        <v>01041281</v>
      </c>
      <c r="C31" t="s">
        <v>284</v>
      </c>
      <c r="D31" s="11">
        <f>-Calculations!B34</f>
        <v>0</v>
      </c>
      <c r="E31" s="11">
        <f>-Calculations!C34</f>
        <v>0</v>
      </c>
      <c r="F31" s="11">
        <f>-Calculations!D34</f>
        <v>0</v>
      </c>
      <c r="G31" s="11">
        <f>-Calculations!E34</f>
        <v>0</v>
      </c>
      <c r="H31" s="11">
        <f>-Calculations!F34</f>
        <v>0</v>
      </c>
      <c r="I31" s="11">
        <f>-Calculations!G34</f>
        <v>0</v>
      </c>
      <c r="J31" s="11">
        <f>-Calculations!H34</f>
        <v>0</v>
      </c>
      <c r="K31" s="11">
        <f>-Calculations!I34</f>
        <v>0</v>
      </c>
      <c r="L31" s="11">
        <f>-Calculations!J34</f>
        <v>0</v>
      </c>
      <c r="M31" s="11">
        <f>-Calculations!K34</f>
        <v>0</v>
      </c>
      <c r="N31" s="11">
        <f>-Calculations!L34</f>
        <v>150501.17000000001</v>
      </c>
      <c r="O31" s="11">
        <f>-Calculations!M34</f>
        <v>150.47</v>
      </c>
      <c r="P31" s="11">
        <f>-Calculations!N34</f>
        <v>0</v>
      </c>
      <c r="Q31" s="11">
        <f>-Calculations!O34</f>
        <v>1810.31</v>
      </c>
      <c r="R31" s="11">
        <f>-Calculations!P34</f>
        <v>637.44000000000005</v>
      </c>
      <c r="S31" s="11">
        <f>-Calculations!Q34</f>
        <v>825.99</v>
      </c>
      <c r="T31" s="11">
        <f>-Calculations!R34</f>
        <v>6.91</v>
      </c>
      <c r="U31" s="11">
        <f>-Calculations!S34</f>
        <v>0</v>
      </c>
      <c r="V31" s="11">
        <f>-Calculations!T34</f>
        <v>0</v>
      </c>
      <c r="W31" s="11">
        <f>-Calculations!U34</f>
        <v>0</v>
      </c>
      <c r="X31" s="11">
        <f>-Calculations!V34</f>
        <v>0</v>
      </c>
      <c r="Y31" s="11">
        <f>-Calculations!W34</f>
        <v>0</v>
      </c>
      <c r="Z31" s="11">
        <f>-Calculations!X34</f>
        <v>0</v>
      </c>
      <c r="AA31" s="11">
        <f>-Calculations!Y34</f>
        <v>0</v>
      </c>
      <c r="AB31" s="11">
        <f>-Calculations!Z34</f>
        <v>0</v>
      </c>
      <c r="AC31" s="11">
        <f>-Calculations!AA34</f>
        <v>0</v>
      </c>
      <c r="AD31" s="11">
        <f>-Calculations!AB34</f>
        <v>0</v>
      </c>
      <c r="AE31" s="11">
        <f>-Calculations!AC34</f>
        <v>0</v>
      </c>
      <c r="AF31" s="11">
        <f>-Calculations!AD34</f>
        <v>0</v>
      </c>
      <c r="AG31" s="11">
        <f>-Calculations!AE34</f>
        <v>0</v>
      </c>
      <c r="AH31" s="11">
        <f>-Calculations!AF34</f>
        <v>0</v>
      </c>
      <c r="AI31" s="11">
        <f>-Calculations!AG34</f>
        <v>0</v>
      </c>
      <c r="AJ31" s="11"/>
      <c r="AK31" s="11"/>
      <c r="AL31" s="11"/>
      <c r="AM31" s="11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5" customFormat="1">
      <c r="A32" s="35">
        <f t="shared" si="42"/>
        <v>28</v>
      </c>
      <c r="B32" t="str">
        <f>Calculations!A35</f>
        <v>01041294</v>
      </c>
      <c r="C32" t="s">
        <v>285</v>
      </c>
      <c r="D32" s="11">
        <f>-Calculations!B35</f>
        <v>0</v>
      </c>
      <c r="E32" s="11">
        <f>-Calculations!C35</f>
        <v>0</v>
      </c>
      <c r="F32" s="11">
        <f>-Calculations!D35</f>
        <v>0</v>
      </c>
      <c r="G32" s="11">
        <f>-Calculations!E35</f>
        <v>0</v>
      </c>
      <c r="H32" s="11">
        <f>-Calculations!F35</f>
        <v>52104.38</v>
      </c>
      <c r="I32" s="11">
        <f>-Calculations!G35</f>
        <v>0</v>
      </c>
      <c r="J32" s="11">
        <f>-Calculations!H35</f>
        <v>0</v>
      </c>
      <c r="K32" s="11">
        <f>-Calculations!I35</f>
        <v>31.41</v>
      </c>
      <c r="L32" s="11">
        <f>-Calculations!J35</f>
        <v>0</v>
      </c>
      <c r="M32" s="11">
        <f>-Calculations!K35</f>
        <v>-31.41</v>
      </c>
      <c r="N32" s="11">
        <f>-Calculations!L35</f>
        <v>0</v>
      </c>
      <c r="O32" s="11">
        <f>-Calculations!M35</f>
        <v>0</v>
      </c>
      <c r="P32" s="11">
        <f>-Calculations!N35</f>
        <v>0</v>
      </c>
      <c r="Q32" s="11">
        <f>-Calculations!O35</f>
        <v>0</v>
      </c>
      <c r="R32" s="11">
        <f>-Calculations!P35</f>
        <v>0</v>
      </c>
      <c r="S32" s="11">
        <f>-Calculations!Q35</f>
        <v>0</v>
      </c>
      <c r="T32" s="11">
        <f>-Calculations!R35</f>
        <v>0</v>
      </c>
      <c r="U32" s="11">
        <f>-Calculations!S35</f>
        <v>0</v>
      </c>
      <c r="V32" s="11">
        <f>-Calculations!T35</f>
        <v>0</v>
      </c>
      <c r="W32" s="11">
        <f>-Calculations!U35</f>
        <v>0</v>
      </c>
      <c r="X32" s="11">
        <f>-Calculations!V35</f>
        <v>0</v>
      </c>
      <c r="Y32" s="11">
        <f>-Calculations!W35</f>
        <v>0</v>
      </c>
      <c r="Z32" s="11">
        <f>-Calculations!X35</f>
        <v>0</v>
      </c>
      <c r="AA32" s="11">
        <f>-Calculations!Y35</f>
        <v>0</v>
      </c>
      <c r="AB32" s="11">
        <f>-Calculations!Z35</f>
        <v>0</v>
      </c>
      <c r="AC32" s="11">
        <f>-Calculations!AA35</f>
        <v>0</v>
      </c>
      <c r="AD32" s="11">
        <f>-Calculations!AB35</f>
        <v>0</v>
      </c>
      <c r="AE32" s="11">
        <f>-Calculations!AC35</f>
        <v>0</v>
      </c>
      <c r="AF32" s="11">
        <f>-Calculations!AD35</f>
        <v>0</v>
      </c>
      <c r="AG32" s="11">
        <f>-Calculations!AE35</f>
        <v>0</v>
      </c>
      <c r="AH32" s="11">
        <f>-Calculations!AF35</f>
        <v>0</v>
      </c>
      <c r="AI32" s="11">
        <f>-Calculations!AG35</f>
        <v>0</v>
      </c>
      <c r="AJ32" s="11"/>
      <c r="AK32" s="11"/>
      <c r="AL32" s="11"/>
      <c r="AM32" s="11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5" customFormat="1">
      <c r="A33" s="35">
        <f t="shared" si="42"/>
        <v>29</v>
      </c>
      <c r="B33" t="str">
        <f>Calculations!A36</f>
        <v>01041295</v>
      </c>
      <c r="C33" t="s">
        <v>286</v>
      </c>
      <c r="D33" s="11">
        <f>-Calculations!B36</f>
        <v>0</v>
      </c>
      <c r="E33" s="11">
        <f>-Calculations!C36</f>
        <v>0</v>
      </c>
      <c r="F33" s="11">
        <f>-Calculations!D36</f>
        <v>0</v>
      </c>
      <c r="G33" s="11">
        <f>-Calculations!E36</f>
        <v>0</v>
      </c>
      <c r="H33" s="11">
        <f>-Calculations!F36</f>
        <v>0</v>
      </c>
      <c r="I33" s="11">
        <f>-Calculations!G36</f>
        <v>0</v>
      </c>
      <c r="J33" s="11">
        <f>-Calculations!H36</f>
        <v>0</v>
      </c>
      <c r="K33" s="11">
        <f>-Calculations!I36</f>
        <v>0</v>
      </c>
      <c r="L33" s="11">
        <f>-Calculations!J36</f>
        <v>0</v>
      </c>
      <c r="M33" s="11">
        <f>-Calculations!K36</f>
        <v>0</v>
      </c>
      <c r="N33" s="11">
        <f>-Calculations!L36</f>
        <v>178783.69</v>
      </c>
      <c r="O33" s="11">
        <f>-Calculations!M36</f>
        <v>4105.51</v>
      </c>
      <c r="P33" s="11">
        <f>-Calculations!N36</f>
        <v>0</v>
      </c>
      <c r="Q33" s="11">
        <f>-Calculations!O36</f>
        <v>0</v>
      </c>
      <c r="R33" s="11">
        <f>-Calculations!P36</f>
        <v>-2274.94</v>
      </c>
      <c r="S33" s="11">
        <f>-Calculations!Q36</f>
        <v>0</v>
      </c>
      <c r="T33" s="11">
        <f>-Calculations!R36</f>
        <v>0</v>
      </c>
      <c r="U33" s="11">
        <f>-Calculations!S36</f>
        <v>-1975.99</v>
      </c>
      <c r="V33" s="11">
        <f>-Calculations!T36</f>
        <v>0</v>
      </c>
      <c r="W33" s="11">
        <f>-Calculations!U36</f>
        <v>0</v>
      </c>
      <c r="X33" s="11">
        <f>-Calculations!V36</f>
        <v>0</v>
      </c>
      <c r="Y33" s="11">
        <f>-Calculations!W36</f>
        <v>0</v>
      </c>
      <c r="Z33" s="11">
        <f>-Calculations!X36</f>
        <v>0</v>
      </c>
      <c r="AA33" s="11">
        <f>-Calculations!Y36</f>
        <v>0</v>
      </c>
      <c r="AB33" s="11">
        <f>-Calculations!Z36</f>
        <v>0</v>
      </c>
      <c r="AC33" s="11">
        <f>-Calculations!AA36</f>
        <v>0</v>
      </c>
      <c r="AD33" s="11">
        <f>-Calculations!AB36</f>
        <v>0</v>
      </c>
      <c r="AE33" s="11">
        <f>-Calculations!AC36</f>
        <v>0</v>
      </c>
      <c r="AF33" s="11">
        <f>-Calculations!AD36</f>
        <v>0</v>
      </c>
      <c r="AG33" s="11">
        <f>-Calculations!AE36</f>
        <v>0</v>
      </c>
      <c r="AH33" s="11">
        <f>-Calculations!AF36</f>
        <v>0</v>
      </c>
      <c r="AI33" s="11">
        <f>-Calculations!AG36</f>
        <v>0</v>
      </c>
      <c r="AJ33" s="11"/>
      <c r="AK33" s="11"/>
      <c r="AL33" s="11"/>
      <c r="AM33" s="11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5" customFormat="1">
      <c r="A34" s="35">
        <f t="shared" si="42"/>
        <v>30</v>
      </c>
      <c r="B34" t="str">
        <f>Calculations!A37</f>
        <v>01041753</v>
      </c>
      <c r="C34" t="s">
        <v>287</v>
      </c>
      <c r="D34" s="11">
        <f>-Calculations!B37</f>
        <v>0</v>
      </c>
      <c r="E34" s="11">
        <f>-Calculations!C37</f>
        <v>0</v>
      </c>
      <c r="F34" s="11">
        <f>-Calculations!D37</f>
        <v>0</v>
      </c>
      <c r="G34" s="11">
        <f>-Calculations!E37</f>
        <v>0</v>
      </c>
      <c r="H34" s="11">
        <f>-Calculations!F37</f>
        <v>0</v>
      </c>
      <c r="I34" s="11">
        <f>-Calculations!G37</f>
        <v>0</v>
      </c>
      <c r="J34" s="11">
        <f>-Calculations!H37</f>
        <v>0</v>
      </c>
      <c r="K34" s="11">
        <f>-Calculations!I37</f>
        <v>0</v>
      </c>
      <c r="L34" s="11">
        <f>-Calculations!J37</f>
        <v>0</v>
      </c>
      <c r="M34" s="11">
        <f>-Calculations!K37</f>
        <v>0</v>
      </c>
      <c r="N34" s="11">
        <f>-Calculations!L37</f>
        <v>0</v>
      </c>
      <c r="O34" s="11">
        <f>-Calculations!M37</f>
        <v>269806.92</v>
      </c>
      <c r="P34" s="11">
        <f>-Calculations!N37</f>
        <v>0</v>
      </c>
      <c r="Q34" s="11">
        <f>-Calculations!O37</f>
        <v>0</v>
      </c>
      <c r="R34" s="11">
        <f>-Calculations!P37</f>
        <v>8428.0300000000007</v>
      </c>
      <c r="S34" s="11">
        <f>-Calculations!Q37</f>
        <v>0</v>
      </c>
      <c r="T34" s="11">
        <f>-Calculations!R37</f>
        <v>0</v>
      </c>
      <c r="U34" s="11">
        <f>-Calculations!S37</f>
        <v>0</v>
      </c>
      <c r="V34" s="11">
        <f>-Calculations!T37</f>
        <v>0</v>
      </c>
      <c r="W34" s="11">
        <f>-Calculations!U37</f>
        <v>0</v>
      </c>
      <c r="X34" s="11">
        <f>-Calculations!V37</f>
        <v>0</v>
      </c>
      <c r="Y34" s="11">
        <f>-Calculations!W37</f>
        <v>0</v>
      </c>
      <c r="Z34" s="11">
        <f>-Calculations!X37</f>
        <v>0</v>
      </c>
      <c r="AA34" s="11">
        <f>-Calculations!Y37</f>
        <v>0</v>
      </c>
      <c r="AB34" s="11">
        <f>-Calculations!Z37</f>
        <v>0</v>
      </c>
      <c r="AC34" s="11">
        <f>-Calculations!AA37</f>
        <v>0</v>
      </c>
      <c r="AD34" s="11">
        <f>-Calculations!AB37</f>
        <v>0</v>
      </c>
      <c r="AE34" s="11">
        <f>-Calculations!AC37</f>
        <v>0</v>
      </c>
      <c r="AF34" s="11">
        <f>-Calculations!AD37</f>
        <v>0</v>
      </c>
      <c r="AG34" s="11">
        <f>-Calculations!AE37</f>
        <v>0</v>
      </c>
      <c r="AH34" s="11">
        <f>-Calculations!AF37</f>
        <v>0</v>
      </c>
      <c r="AI34" s="11">
        <f>-Calculations!AG37</f>
        <v>0</v>
      </c>
      <c r="AJ34" s="11"/>
      <c r="AK34" s="11"/>
      <c r="AL34" s="11"/>
      <c r="AM34" s="11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5" customFormat="1">
      <c r="A35" s="35">
        <f t="shared" si="42"/>
        <v>31</v>
      </c>
      <c r="B35" t="str">
        <f>Calculations!A38</f>
        <v>01041777</v>
      </c>
      <c r="C35" t="s">
        <v>298</v>
      </c>
      <c r="D35" s="11">
        <f>-Calculations!B38</f>
        <v>0</v>
      </c>
      <c r="E35" s="11">
        <f>-Calculations!C38</f>
        <v>0</v>
      </c>
      <c r="F35" s="11">
        <f>-Calculations!D38</f>
        <v>0</v>
      </c>
      <c r="G35" s="11">
        <f>-Calculations!E38</f>
        <v>0</v>
      </c>
      <c r="H35" s="11">
        <f>-Calculations!F38</f>
        <v>0</v>
      </c>
      <c r="I35" s="11">
        <f>-Calculations!G38</f>
        <v>0</v>
      </c>
      <c r="J35" s="11">
        <f>-Calculations!H38</f>
        <v>0</v>
      </c>
      <c r="K35" s="11">
        <f>-Calculations!I38</f>
        <v>0</v>
      </c>
      <c r="L35" s="11">
        <f>-Calculations!J38</f>
        <v>0</v>
      </c>
      <c r="M35" s="11">
        <f>-Calculations!K38</f>
        <v>0</v>
      </c>
      <c r="N35" s="11">
        <f>-Calculations!L38</f>
        <v>0</v>
      </c>
      <c r="O35" s="11">
        <f>-Calculations!M38</f>
        <v>0</v>
      </c>
      <c r="P35" s="11">
        <f>-Calculations!N38</f>
        <v>0</v>
      </c>
      <c r="Q35" s="11">
        <f>-Calculations!O38</f>
        <v>0</v>
      </c>
      <c r="R35" s="11">
        <f>-Calculations!P38</f>
        <v>0</v>
      </c>
      <c r="S35" s="11">
        <f>-Calculations!Q38</f>
        <v>0</v>
      </c>
      <c r="T35" s="11">
        <f>-Calculations!R38</f>
        <v>0</v>
      </c>
      <c r="U35" s="11">
        <f>-Calculations!S38</f>
        <v>0</v>
      </c>
      <c r="V35" s="11">
        <f>-Calculations!T38</f>
        <v>0</v>
      </c>
      <c r="W35" s="11">
        <f>-Calculations!U38</f>
        <v>0</v>
      </c>
      <c r="X35" s="11">
        <f>-Calculations!V38</f>
        <v>0</v>
      </c>
      <c r="Y35" s="11">
        <f>-Calculations!W38</f>
        <v>1641912.7699999998</v>
      </c>
      <c r="Z35" s="11">
        <f>-Calculations!X38</f>
        <v>0</v>
      </c>
      <c r="AA35" s="11">
        <f>-Calculations!Y38</f>
        <v>283018.73</v>
      </c>
      <c r="AB35" s="11">
        <f>-Calculations!Z38</f>
        <v>11801.51</v>
      </c>
      <c r="AC35" s="11">
        <f>-Calculations!AA38</f>
        <v>936.45999999999992</v>
      </c>
      <c r="AD35" s="11">
        <f>-Calculations!AB38</f>
        <v>0</v>
      </c>
      <c r="AE35" s="11">
        <f>-Calculations!AC38</f>
        <v>-30266.21</v>
      </c>
      <c r="AF35" s="11">
        <f>-Calculations!AD38</f>
        <v>0</v>
      </c>
      <c r="AG35" s="11">
        <f>-Calculations!AE38</f>
        <v>0</v>
      </c>
      <c r="AH35" s="11">
        <f>-Calculations!AF38</f>
        <v>0</v>
      </c>
      <c r="AI35" s="11">
        <f>-Calculations!AG38</f>
        <v>0</v>
      </c>
      <c r="AJ35" s="11"/>
      <c r="AK35" s="11"/>
      <c r="AL35" s="11"/>
      <c r="AM35" s="11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5" customFormat="1">
      <c r="A36" s="35">
        <f t="shared" si="42"/>
        <v>32</v>
      </c>
      <c r="B36" t="str">
        <f>Calculations!A39</f>
        <v>01041798</v>
      </c>
      <c r="C36" t="s">
        <v>288</v>
      </c>
      <c r="D36" s="11">
        <f>-Calculations!B39</f>
        <v>0</v>
      </c>
      <c r="E36" s="11">
        <f>-Calculations!C39</f>
        <v>0</v>
      </c>
      <c r="F36" s="11">
        <f>-Calculations!D39</f>
        <v>0</v>
      </c>
      <c r="G36" s="11">
        <f>-Calculations!E39</f>
        <v>0</v>
      </c>
      <c r="H36" s="11">
        <f>-Calculations!F39</f>
        <v>0</v>
      </c>
      <c r="I36" s="11">
        <f>-Calculations!G39</f>
        <v>0</v>
      </c>
      <c r="J36" s="11">
        <f>-Calculations!H39</f>
        <v>0</v>
      </c>
      <c r="K36" s="11">
        <f>-Calculations!I39</f>
        <v>0</v>
      </c>
      <c r="L36" s="11">
        <f>-Calculations!J39</f>
        <v>0</v>
      </c>
      <c r="M36" s="11">
        <f>-Calculations!K39</f>
        <v>0</v>
      </c>
      <c r="N36" s="11">
        <f>-Calculations!L39</f>
        <v>0</v>
      </c>
      <c r="O36" s="11">
        <f>-Calculations!M39</f>
        <v>0</v>
      </c>
      <c r="P36" s="11">
        <f>-Calculations!N39</f>
        <v>0</v>
      </c>
      <c r="Q36" s="11">
        <f>-Calculations!O39</f>
        <v>0</v>
      </c>
      <c r="R36" s="11">
        <f>-Calculations!P39</f>
        <v>0</v>
      </c>
      <c r="S36" s="11">
        <f>-Calculations!Q39</f>
        <v>2021669.75</v>
      </c>
      <c r="T36" s="11">
        <f>-Calculations!R39</f>
        <v>0</v>
      </c>
      <c r="U36" s="11">
        <f>-Calculations!S39</f>
        <v>-13455.56</v>
      </c>
      <c r="V36" s="11">
        <f>-Calculations!T39</f>
        <v>0</v>
      </c>
      <c r="W36" s="11">
        <f>-Calculations!U39</f>
        <v>0</v>
      </c>
      <c r="X36" s="11">
        <f>-Calculations!V39</f>
        <v>0</v>
      </c>
      <c r="Y36" s="11">
        <f>-Calculations!W39</f>
        <v>0</v>
      </c>
      <c r="Z36" s="11">
        <f>-Calculations!X39</f>
        <v>0</v>
      </c>
      <c r="AA36" s="11">
        <f>-Calculations!Y39</f>
        <v>8258.56</v>
      </c>
      <c r="AB36" s="11">
        <f>-Calculations!Z39</f>
        <v>0</v>
      </c>
      <c r="AC36" s="11">
        <f>-Calculations!AA39</f>
        <v>0</v>
      </c>
      <c r="AD36" s="11">
        <f>-Calculations!AB39</f>
        <v>0</v>
      </c>
      <c r="AE36" s="11">
        <f>-Calculations!AC39</f>
        <v>0</v>
      </c>
      <c r="AF36" s="11">
        <f>-Calculations!AD39</f>
        <v>0</v>
      </c>
      <c r="AG36" s="11">
        <f>-Calculations!AE39</f>
        <v>0</v>
      </c>
      <c r="AH36" s="11">
        <f>-Calculations!AF39</f>
        <v>0</v>
      </c>
      <c r="AI36" s="11">
        <f>-Calculations!AG39</f>
        <v>0</v>
      </c>
      <c r="AJ36" s="11"/>
      <c r="AK36" s="11"/>
      <c r="AL36" s="11"/>
      <c r="AM36" s="11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5" customFormat="1">
      <c r="A37" s="35">
        <f t="shared" si="42"/>
        <v>33</v>
      </c>
      <c r="B37" t="str">
        <f>Calculations!A40</f>
        <v>01041905</v>
      </c>
      <c r="C37" t="s">
        <v>289</v>
      </c>
      <c r="D37" s="11">
        <f>-Calculations!B40</f>
        <v>0</v>
      </c>
      <c r="E37" s="11">
        <f>-Calculations!C40</f>
        <v>0</v>
      </c>
      <c r="F37" s="11">
        <f>-Calculations!D40</f>
        <v>0</v>
      </c>
      <c r="G37" s="11">
        <f>-Calculations!E40</f>
        <v>0</v>
      </c>
      <c r="H37" s="11">
        <f>-Calculations!F40</f>
        <v>0</v>
      </c>
      <c r="I37" s="11">
        <f>-Calculations!G40</f>
        <v>0</v>
      </c>
      <c r="J37" s="11">
        <f>-Calculations!H40</f>
        <v>0</v>
      </c>
      <c r="K37" s="11">
        <f>-Calculations!I40</f>
        <v>0</v>
      </c>
      <c r="L37" s="11">
        <f>-Calculations!J40</f>
        <v>0</v>
      </c>
      <c r="M37" s="11">
        <f>-Calculations!K40</f>
        <v>0</v>
      </c>
      <c r="N37" s="11">
        <f>-Calculations!L40</f>
        <v>0</v>
      </c>
      <c r="O37" s="11">
        <f>-Calculations!M40</f>
        <v>0</v>
      </c>
      <c r="P37" s="11">
        <f>-Calculations!N40</f>
        <v>0</v>
      </c>
      <c r="Q37" s="11">
        <f>-Calculations!O40</f>
        <v>258524.02</v>
      </c>
      <c r="R37" s="11">
        <f>-Calculations!P40</f>
        <v>786.01</v>
      </c>
      <c r="S37" s="11">
        <f>-Calculations!Q40</f>
        <v>796.44</v>
      </c>
      <c r="T37" s="11">
        <f>-Calculations!R40</f>
        <v>-4725.28</v>
      </c>
      <c r="U37" s="11">
        <f>-Calculations!S40</f>
        <v>0</v>
      </c>
      <c r="V37" s="11">
        <f>-Calculations!T40</f>
        <v>0</v>
      </c>
      <c r="W37" s="11">
        <f>-Calculations!U40</f>
        <v>0</v>
      </c>
      <c r="X37" s="11">
        <f>-Calculations!V40</f>
        <v>0</v>
      </c>
      <c r="Y37" s="11">
        <f>-Calculations!W40</f>
        <v>0</v>
      </c>
      <c r="Z37" s="11">
        <f>-Calculations!X40</f>
        <v>0</v>
      </c>
      <c r="AA37" s="11">
        <f>-Calculations!Y40</f>
        <v>0</v>
      </c>
      <c r="AB37" s="11">
        <f>-Calculations!Z40</f>
        <v>0</v>
      </c>
      <c r="AC37" s="11">
        <f>-Calculations!AA40</f>
        <v>0</v>
      </c>
      <c r="AD37" s="11">
        <f>-Calculations!AB40</f>
        <v>0</v>
      </c>
      <c r="AE37" s="11">
        <f>-Calculations!AC40</f>
        <v>0</v>
      </c>
      <c r="AF37" s="11">
        <f>-Calculations!AD40</f>
        <v>0</v>
      </c>
      <c r="AG37" s="11">
        <f>-Calculations!AE40</f>
        <v>0</v>
      </c>
      <c r="AH37" s="11">
        <f>-Calculations!AF40</f>
        <v>0</v>
      </c>
      <c r="AI37" s="11">
        <f>-Calculations!AG40</f>
        <v>0</v>
      </c>
      <c r="AJ37" s="11"/>
      <c r="AK37" s="11"/>
      <c r="AL37" s="11"/>
      <c r="AM37" s="11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5" customFormat="1">
      <c r="A38" s="35">
        <f t="shared" si="42"/>
        <v>34</v>
      </c>
      <c r="B38" t="str">
        <f>Calculations!A41</f>
        <v>01041933</v>
      </c>
      <c r="C38" t="s">
        <v>290</v>
      </c>
      <c r="D38" s="11">
        <f>-Calculations!B41</f>
        <v>0</v>
      </c>
      <c r="E38" s="11">
        <f>-Calculations!C41</f>
        <v>0</v>
      </c>
      <c r="F38" s="11">
        <f>-Calculations!D41</f>
        <v>0</v>
      </c>
      <c r="G38" s="11">
        <f>-Calculations!E41</f>
        <v>0</v>
      </c>
      <c r="H38" s="11">
        <f>-Calculations!F41</f>
        <v>0</v>
      </c>
      <c r="I38" s="11">
        <f>-Calculations!G41</f>
        <v>0</v>
      </c>
      <c r="J38" s="11">
        <f>-Calculations!H41</f>
        <v>0</v>
      </c>
      <c r="K38" s="11">
        <f>-Calculations!I41</f>
        <v>0</v>
      </c>
      <c r="L38" s="11">
        <f>-Calculations!J41</f>
        <v>0</v>
      </c>
      <c r="M38" s="11">
        <f>-Calculations!K41</f>
        <v>0</v>
      </c>
      <c r="N38" s="11">
        <f>-Calculations!L41</f>
        <v>0</v>
      </c>
      <c r="O38" s="11">
        <f>-Calculations!M41</f>
        <v>0</v>
      </c>
      <c r="P38" s="11">
        <f>-Calculations!N41</f>
        <v>0</v>
      </c>
      <c r="Q38" s="11">
        <f>-Calculations!O41</f>
        <v>897355.16999999993</v>
      </c>
      <c r="R38" s="11">
        <f>-Calculations!P41</f>
        <v>1973.66</v>
      </c>
      <c r="S38" s="11">
        <f>-Calculations!Q41</f>
        <v>-1340</v>
      </c>
      <c r="T38" s="11">
        <f>-Calculations!R41</f>
        <v>-12552.4</v>
      </c>
      <c r="U38" s="11">
        <f>-Calculations!S41</f>
        <v>1258.8900000000001</v>
      </c>
      <c r="V38" s="11">
        <f>-Calculations!T41</f>
        <v>1205.75</v>
      </c>
      <c r="W38" s="11">
        <f>-Calculations!U41</f>
        <v>5266.5</v>
      </c>
      <c r="X38" s="11">
        <f>-Calculations!V41</f>
        <v>139.5</v>
      </c>
      <c r="Y38" s="11">
        <f>-Calculations!W41</f>
        <v>0</v>
      </c>
      <c r="Z38" s="11">
        <f>-Calculations!X41</f>
        <v>316.2</v>
      </c>
      <c r="AA38" s="11">
        <f>-Calculations!Y41</f>
        <v>455</v>
      </c>
      <c r="AB38" s="11">
        <f>-Calculations!Z41</f>
        <v>0</v>
      </c>
      <c r="AC38" s="11">
        <f>-Calculations!AA41</f>
        <v>0</v>
      </c>
      <c r="AD38" s="11">
        <f>-Calculations!AB41</f>
        <v>0</v>
      </c>
      <c r="AE38" s="11">
        <f>-Calculations!AC41</f>
        <v>0</v>
      </c>
      <c r="AF38" s="11">
        <f>-Calculations!AD41</f>
        <v>0</v>
      </c>
      <c r="AG38" s="11">
        <f>-Calculations!AE41</f>
        <v>0</v>
      </c>
      <c r="AH38" s="11">
        <f>-Calculations!AF41</f>
        <v>0</v>
      </c>
      <c r="AI38" s="11">
        <f>-Calculations!AG41</f>
        <v>0</v>
      </c>
      <c r="AJ38" s="11"/>
      <c r="AK38" s="11"/>
      <c r="AL38" s="11"/>
      <c r="AM38" s="11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5" customFormat="1">
      <c r="A39" s="35">
        <f t="shared" si="42"/>
        <v>35</v>
      </c>
      <c r="B39" t="str">
        <f>Calculations!A42</f>
        <v>01042033</v>
      </c>
      <c r="C39" t="s">
        <v>299</v>
      </c>
      <c r="D39" s="11">
        <f>-Calculations!B42</f>
        <v>0</v>
      </c>
      <c r="E39" s="11">
        <f>-Calculations!C42</f>
        <v>0</v>
      </c>
      <c r="F39" s="11">
        <f>-Calculations!D42</f>
        <v>0</v>
      </c>
      <c r="G39" s="11">
        <f>-Calculations!E42</f>
        <v>0</v>
      </c>
      <c r="H39" s="11">
        <f>-Calculations!F42</f>
        <v>0</v>
      </c>
      <c r="I39" s="11">
        <f>-Calculations!G42</f>
        <v>0</v>
      </c>
      <c r="J39" s="11">
        <f>-Calculations!H42</f>
        <v>0</v>
      </c>
      <c r="K39" s="11">
        <f>-Calculations!I42</f>
        <v>0</v>
      </c>
      <c r="L39" s="11">
        <f>-Calculations!J42</f>
        <v>0</v>
      </c>
      <c r="M39" s="11">
        <f>-Calculations!K42</f>
        <v>0</v>
      </c>
      <c r="N39" s="11">
        <f>-Calculations!L42</f>
        <v>0</v>
      </c>
      <c r="O39" s="11">
        <f>-Calculations!M42</f>
        <v>0</v>
      </c>
      <c r="P39" s="11">
        <f>-Calculations!N42</f>
        <v>0</v>
      </c>
      <c r="Q39" s="11">
        <f>-Calculations!O42</f>
        <v>0</v>
      </c>
      <c r="R39" s="11">
        <f>-Calculations!P42</f>
        <v>0</v>
      </c>
      <c r="S39" s="11">
        <f>-Calculations!Q42</f>
        <v>0</v>
      </c>
      <c r="T39" s="11">
        <f>-Calculations!R42</f>
        <v>0</v>
      </c>
      <c r="U39" s="11">
        <f>-Calculations!S42</f>
        <v>0</v>
      </c>
      <c r="V39" s="11">
        <f>-Calculations!T42</f>
        <v>0</v>
      </c>
      <c r="W39" s="11">
        <f>-Calculations!U42</f>
        <v>0</v>
      </c>
      <c r="X39" s="11">
        <f>-Calculations!V42</f>
        <v>0</v>
      </c>
      <c r="Y39" s="11">
        <f>-Calculations!W42</f>
        <v>34150695.5</v>
      </c>
      <c r="Z39" s="11">
        <f>-Calculations!X42</f>
        <v>0</v>
      </c>
      <c r="AA39" s="11">
        <f>-Calculations!Y42</f>
        <v>0</v>
      </c>
      <c r="AB39" s="11">
        <f>-Calculations!Z42</f>
        <v>0</v>
      </c>
      <c r="AC39" s="11">
        <f>-Calculations!AA42</f>
        <v>0</v>
      </c>
      <c r="AD39" s="11">
        <f>-Calculations!AB42</f>
        <v>0</v>
      </c>
      <c r="AE39" s="11">
        <f>-Calculations!AC42</f>
        <v>0</v>
      </c>
      <c r="AF39" s="11">
        <f>-Calculations!AD42</f>
        <v>0</v>
      </c>
      <c r="AG39" s="11">
        <f>-Calculations!AE42</f>
        <v>0</v>
      </c>
      <c r="AH39" s="11">
        <f>-Calculations!AF42</f>
        <v>0</v>
      </c>
      <c r="AI39" s="11">
        <f>-Calculations!AG42</f>
        <v>0</v>
      </c>
      <c r="AJ39" s="11"/>
      <c r="AK39" s="11"/>
      <c r="AL39" s="11"/>
      <c r="AM39" s="11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5" customFormat="1">
      <c r="A40" s="35">
        <f t="shared" si="42"/>
        <v>36</v>
      </c>
      <c r="B40" t="str">
        <f>Calculations!A43</f>
        <v>01042134</v>
      </c>
      <c r="C40" t="s">
        <v>291</v>
      </c>
      <c r="D40" s="11">
        <f>-Calculations!B43</f>
        <v>0</v>
      </c>
      <c r="E40" s="11">
        <f>-Calculations!C43</f>
        <v>0</v>
      </c>
      <c r="F40" s="11">
        <f>-Calculations!D43</f>
        <v>0</v>
      </c>
      <c r="G40" s="11">
        <f>-Calculations!E43</f>
        <v>0</v>
      </c>
      <c r="H40" s="11">
        <f>-Calculations!F43</f>
        <v>0</v>
      </c>
      <c r="I40" s="11">
        <f>-Calculations!G43</f>
        <v>0</v>
      </c>
      <c r="J40" s="11">
        <f>-Calculations!H43</f>
        <v>0</v>
      </c>
      <c r="K40" s="11">
        <f>-Calculations!I43</f>
        <v>0</v>
      </c>
      <c r="L40" s="11">
        <f>-Calculations!J43</f>
        <v>0</v>
      </c>
      <c r="M40" s="11">
        <f>-Calculations!K43</f>
        <v>0</v>
      </c>
      <c r="N40" s="11">
        <f>-Calculations!L43</f>
        <v>0</v>
      </c>
      <c r="O40" s="11">
        <f>-Calculations!M43</f>
        <v>0</v>
      </c>
      <c r="P40" s="11">
        <f>-Calculations!N43</f>
        <v>0</v>
      </c>
      <c r="Q40" s="11">
        <f>-Calculations!O43</f>
        <v>178223.31999999998</v>
      </c>
      <c r="R40" s="11">
        <f>-Calculations!P43</f>
        <v>0</v>
      </c>
      <c r="S40" s="11">
        <f>-Calculations!Q43</f>
        <v>406.84999999999997</v>
      </c>
      <c r="T40" s="11">
        <f>-Calculations!R43</f>
        <v>0</v>
      </c>
      <c r="U40" s="11">
        <f>-Calculations!S43</f>
        <v>0</v>
      </c>
      <c r="V40" s="11">
        <f>-Calculations!T43</f>
        <v>0</v>
      </c>
      <c r="W40" s="11">
        <f>-Calculations!U43</f>
        <v>0</v>
      </c>
      <c r="X40" s="11">
        <f>-Calculations!V43</f>
        <v>0</v>
      </c>
      <c r="Y40" s="11">
        <f>-Calculations!W43</f>
        <v>0</v>
      </c>
      <c r="Z40" s="11">
        <f>-Calculations!X43</f>
        <v>0</v>
      </c>
      <c r="AA40" s="11">
        <f>-Calculations!Y43</f>
        <v>0</v>
      </c>
      <c r="AB40" s="11">
        <f>-Calculations!Z43</f>
        <v>0</v>
      </c>
      <c r="AC40" s="11">
        <f>-Calculations!AA43</f>
        <v>0</v>
      </c>
      <c r="AD40" s="11">
        <f>-Calculations!AB43</f>
        <v>0</v>
      </c>
      <c r="AE40" s="11">
        <f>-Calculations!AC43</f>
        <v>0</v>
      </c>
      <c r="AF40" s="11">
        <f>-Calculations!AD43</f>
        <v>0</v>
      </c>
      <c r="AG40" s="11">
        <f>-Calculations!AE43</f>
        <v>0</v>
      </c>
      <c r="AH40" s="11">
        <f>-Calculations!AF43</f>
        <v>0</v>
      </c>
      <c r="AI40" s="11">
        <f>-Calculations!AG43</f>
        <v>0</v>
      </c>
      <c r="AJ40" s="11"/>
      <c r="AK40" s="11"/>
      <c r="AL40" s="11"/>
      <c r="AM40" s="11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5" customFormat="1">
      <c r="A41" s="35">
        <f t="shared" si="42"/>
        <v>37</v>
      </c>
      <c r="B41" t="str">
        <f>Calculations!A44</f>
        <v>01042231</v>
      </c>
      <c r="C41" t="s">
        <v>292</v>
      </c>
      <c r="D41" s="11">
        <f>-Calculations!B44</f>
        <v>0</v>
      </c>
      <c r="E41" s="11">
        <f>-Calculations!C44</f>
        <v>0</v>
      </c>
      <c r="F41" s="11">
        <f>-Calculations!D44</f>
        <v>0</v>
      </c>
      <c r="G41" s="11">
        <f>-Calculations!E44</f>
        <v>0</v>
      </c>
      <c r="H41" s="11">
        <f>-Calculations!F44</f>
        <v>0</v>
      </c>
      <c r="I41" s="11">
        <f>-Calculations!G44</f>
        <v>0</v>
      </c>
      <c r="J41" s="11">
        <f>-Calculations!H44</f>
        <v>0</v>
      </c>
      <c r="K41" s="11">
        <f>-Calculations!I44</f>
        <v>0</v>
      </c>
      <c r="L41" s="11">
        <f>-Calculations!J44</f>
        <v>0</v>
      </c>
      <c r="M41" s="11">
        <f>-Calculations!K44</f>
        <v>0</v>
      </c>
      <c r="N41" s="11">
        <f>-Calculations!L44</f>
        <v>0</v>
      </c>
      <c r="O41" s="11">
        <f>-Calculations!M44</f>
        <v>0</v>
      </c>
      <c r="P41" s="11">
        <f>-Calculations!N44</f>
        <v>0</v>
      </c>
      <c r="Q41" s="11">
        <f>-Calculations!O44</f>
        <v>662170.12</v>
      </c>
      <c r="R41" s="11">
        <f>-Calculations!P44</f>
        <v>0</v>
      </c>
      <c r="S41" s="11">
        <f>-Calculations!Q44</f>
        <v>-140.79</v>
      </c>
      <c r="T41" s="11">
        <f>-Calculations!R44</f>
        <v>-246021.33</v>
      </c>
      <c r="U41" s="11">
        <f>-Calculations!S44</f>
        <v>0</v>
      </c>
      <c r="V41" s="11">
        <f>-Calculations!T44</f>
        <v>0</v>
      </c>
      <c r="W41" s="11">
        <f>-Calculations!U44</f>
        <v>0</v>
      </c>
      <c r="X41" s="11">
        <f>-Calculations!V44</f>
        <v>0</v>
      </c>
      <c r="Y41" s="11">
        <f>-Calculations!W44</f>
        <v>0</v>
      </c>
      <c r="Z41" s="11">
        <f>-Calculations!X44</f>
        <v>0</v>
      </c>
      <c r="AA41" s="11">
        <f>-Calculations!Y44</f>
        <v>0</v>
      </c>
      <c r="AB41" s="11">
        <f>-Calculations!Z44</f>
        <v>0</v>
      </c>
      <c r="AC41" s="11">
        <f>-Calculations!AA44</f>
        <v>9672.67</v>
      </c>
      <c r="AD41" s="11">
        <f>-Calculations!AB44</f>
        <v>0</v>
      </c>
      <c r="AE41" s="11">
        <f>-Calculations!AC44</f>
        <v>0</v>
      </c>
      <c r="AF41" s="11">
        <f>-Calculations!AD44</f>
        <v>0</v>
      </c>
      <c r="AG41" s="11">
        <f>-Calculations!AE44</f>
        <v>0</v>
      </c>
      <c r="AH41" s="11">
        <f>-Calculations!AF44</f>
        <v>0</v>
      </c>
      <c r="AI41" s="11">
        <f>-Calculations!AG44</f>
        <v>0</v>
      </c>
      <c r="AJ41" s="11"/>
      <c r="AK41" s="11"/>
      <c r="AL41" s="11"/>
      <c r="AM41" s="11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5" customFormat="1">
      <c r="A42" s="35">
        <f t="shared" si="42"/>
        <v>38</v>
      </c>
      <c r="B42" t="str">
        <f>Calculations!A45</f>
        <v>01042249</v>
      </c>
      <c r="C42" t="s">
        <v>235</v>
      </c>
      <c r="D42" s="11">
        <f>-Calculations!B45</f>
        <v>0</v>
      </c>
      <c r="E42" s="11">
        <f>-Calculations!C45</f>
        <v>0</v>
      </c>
      <c r="F42" s="11">
        <f>-Calculations!D45</f>
        <v>0</v>
      </c>
      <c r="G42" s="11">
        <f>-Calculations!E45</f>
        <v>0</v>
      </c>
      <c r="H42" s="11">
        <f>-Calculations!F45</f>
        <v>0</v>
      </c>
      <c r="I42" s="11">
        <f>-Calculations!G45</f>
        <v>0</v>
      </c>
      <c r="J42" s="11">
        <f>-Calculations!H45</f>
        <v>0</v>
      </c>
      <c r="K42" s="11">
        <f>-Calculations!I45</f>
        <v>0</v>
      </c>
      <c r="L42" s="11">
        <f>-Calculations!J45</f>
        <v>15552.32</v>
      </c>
      <c r="M42" s="11">
        <f>-Calculations!K45</f>
        <v>252.31</v>
      </c>
      <c r="N42" s="11">
        <f>-Calculations!L45</f>
        <v>-4.72</v>
      </c>
      <c r="O42" s="11">
        <f>-Calculations!M45</f>
        <v>0</v>
      </c>
      <c r="P42" s="11">
        <f>-Calculations!N45</f>
        <v>0</v>
      </c>
      <c r="Q42" s="11">
        <f>-Calculations!O45</f>
        <v>0</v>
      </c>
      <c r="R42" s="11">
        <f>-Calculations!P45</f>
        <v>0</v>
      </c>
      <c r="S42" s="11">
        <f>-Calculations!Q45</f>
        <v>0</v>
      </c>
      <c r="T42" s="11">
        <f>-Calculations!R45</f>
        <v>0</v>
      </c>
      <c r="U42" s="11">
        <f>-Calculations!S45</f>
        <v>0</v>
      </c>
      <c r="V42" s="11">
        <f>-Calculations!T45</f>
        <v>0</v>
      </c>
      <c r="W42" s="11">
        <f>-Calculations!U45</f>
        <v>0</v>
      </c>
      <c r="X42" s="11">
        <f>-Calculations!V45</f>
        <v>0</v>
      </c>
      <c r="Y42" s="11">
        <f>-Calculations!W45</f>
        <v>0</v>
      </c>
      <c r="Z42" s="11">
        <f>-Calculations!X45</f>
        <v>0</v>
      </c>
      <c r="AA42" s="11">
        <f>-Calculations!Y45</f>
        <v>0</v>
      </c>
      <c r="AB42" s="11">
        <f>-Calculations!Z45</f>
        <v>0</v>
      </c>
      <c r="AC42" s="11">
        <f>-Calculations!AA45</f>
        <v>0</v>
      </c>
      <c r="AD42" s="11">
        <f>-Calculations!AB45</f>
        <v>0</v>
      </c>
      <c r="AE42" s="11">
        <f>-Calculations!AC45</f>
        <v>0</v>
      </c>
      <c r="AF42" s="11">
        <f>-Calculations!AD45</f>
        <v>0</v>
      </c>
      <c r="AG42" s="11">
        <f>-Calculations!AE45</f>
        <v>0</v>
      </c>
      <c r="AH42" s="11">
        <f>-Calculations!AF45</f>
        <v>0</v>
      </c>
      <c r="AI42" s="11">
        <f>-Calculations!AG45</f>
        <v>0</v>
      </c>
      <c r="AJ42" s="11"/>
      <c r="AK42" s="11"/>
      <c r="AL42" s="11"/>
      <c r="AM42" s="11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5" customFormat="1">
      <c r="A43" s="35">
        <f t="shared" si="42"/>
        <v>39</v>
      </c>
      <c r="B43" t="str">
        <f>Calculations!A46</f>
        <v>01042308</v>
      </c>
      <c r="C43" t="s">
        <v>293</v>
      </c>
      <c r="D43" s="11">
        <f>-Calculations!B46</f>
        <v>0</v>
      </c>
      <c r="E43" s="11">
        <f>-Calculations!C46</f>
        <v>0</v>
      </c>
      <c r="F43" s="11">
        <f>-Calculations!D46</f>
        <v>0</v>
      </c>
      <c r="G43" s="11">
        <f>-Calculations!E46</f>
        <v>0</v>
      </c>
      <c r="H43" s="11">
        <f>-Calculations!F46</f>
        <v>0</v>
      </c>
      <c r="I43" s="11">
        <f>-Calculations!G46</f>
        <v>0</v>
      </c>
      <c r="J43" s="11">
        <f>-Calculations!H46</f>
        <v>0</v>
      </c>
      <c r="K43" s="11">
        <f>-Calculations!I46</f>
        <v>0</v>
      </c>
      <c r="L43" s="11">
        <f>-Calculations!J46</f>
        <v>0</v>
      </c>
      <c r="M43" s="11">
        <f>-Calculations!K46</f>
        <v>0</v>
      </c>
      <c r="N43" s="11">
        <f>-Calculations!L46</f>
        <v>0</v>
      </c>
      <c r="O43" s="11">
        <f>-Calculations!M46</f>
        <v>0</v>
      </c>
      <c r="P43" s="11">
        <f>-Calculations!N46</f>
        <v>0</v>
      </c>
      <c r="Q43" s="11">
        <f>-Calculations!O46</f>
        <v>0</v>
      </c>
      <c r="R43" s="11">
        <f>-Calculations!P46</f>
        <v>0</v>
      </c>
      <c r="S43" s="11">
        <f>-Calculations!Q46</f>
        <v>0</v>
      </c>
      <c r="T43" s="11">
        <f>-Calculations!R46</f>
        <v>782732.79</v>
      </c>
      <c r="U43" s="11">
        <f>-Calculations!S46</f>
        <v>122.08</v>
      </c>
      <c r="V43" s="11">
        <f>-Calculations!T46</f>
        <v>23781.4</v>
      </c>
      <c r="W43" s="11">
        <f>-Calculations!U46</f>
        <v>51.56</v>
      </c>
      <c r="X43" s="11">
        <f>-Calculations!V46</f>
        <v>92.31</v>
      </c>
      <c r="Y43" s="11">
        <f>-Calculations!W46</f>
        <v>0</v>
      </c>
      <c r="Z43" s="11">
        <f>-Calculations!X46</f>
        <v>0</v>
      </c>
      <c r="AA43" s="11">
        <f>-Calculations!Y46</f>
        <v>0</v>
      </c>
      <c r="AB43" s="11">
        <f>-Calculations!Z46</f>
        <v>0</v>
      </c>
      <c r="AC43" s="11">
        <f>-Calculations!AA46</f>
        <v>0</v>
      </c>
      <c r="AD43" s="11">
        <f>-Calculations!AB46</f>
        <v>0</v>
      </c>
      <c r="AE43" s="11">
        <f>-Calculations!AC46</f>
        <v>0</v>
      </c>
      <c r="AF43" s="11">
        <f>-Calculations!AD46</f>
        <v>0</v>
      </c>
      <c r="AG43" s="11">
        <f>-Calculations!AE46</f>
        <v>0</v>
      </c>
      <c r="AH43" s="11">
        <f>-Calculations!AF46</f>
        <v>0</v>
      </c>
      <c r="AI43" s="11">
        <f>-Calculations!AG46</f>
        <v>0</v>
      </c>
      <c r="AJ43" s="11"/>
      <c r="AK43" s="11"/>
      <c r="AL43" s="11"/>
      <c r="AM43" s="11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5" customFormat="1">
      <c r="A44" s="35">
        <f t="shared" si="42"/>
        <v>40</v>
      </c>
      <c r="B44" t="str">
        <f>Calculations!A47</f>
        <v>01042414</v>
      </c>
      <c r="C44" t="s">
        <v>420</v>
      </c>
      <c r="D44" s="11">
        <f>-Calculations!B47</f>
        <v>0</v>
      </c>
      <c r="E44" s="11">
        <f>-Calculations!C47</f>
        <v>0</v>
      </c>
      <c r="F44" s="11">
        <f>-Calculations!D47</f>
        <v>0</v>
      </c>
      <c r="G44" s="11">
        <f>-Calculations!E47</f>
        <v>0</v>
      </c>
      <c r="H44" s="11">
        <f>-Calculations!F47</f>
        <v>0</v>
      </c>
      <c r="I44" s="11">
        <f>-Calculations!G47</f>
        <v>0</v>
      </c>
      <c r="J44" s="11">
        <f>-Calculations!H47</f>
        <v>0</v>
      </c>
      <c r="K44" s="11">
        <f>-Calculations!I47</f>
        <v>0</v>
      </c>
      <c r="L44" s="11">
        <f>-Calculations!J47</f>
        <v>0</v>
      </c>
      <c r="M44" s="11">
        <f>-Calculations!K47</f>
        <v>0</v>
      </c>
      <c r="N44" s="11">
        <f>-Calculations!L47</f>
        <v>0</v>
      </c>
      <c r="O44" s="11">
        <f>-Calculations!M47</f>
        <v>0</v>
      </c>
      <c r="P44" s="11">
        <f>-Calculations!N47</f>
        <v>0</v>
      </c>
      <c r="Q44" s="11">
        <f>-Calculations!O47</f>
        <v>0</v>
      </c>
      <c r="R44" s="11">
        <f>-Calculations!P47</f>
        <v>0</v>
      </c>
      <c r="S44" s="11">
        <f>-Calculations!Q47</f>
        <v>0</v>
      </c>
      <c r="T44" s="11">
        <f>-Calculations!R47</f>
        <v>0</v>
      </c>
      <c r="U44" s="11">
        <f>-Calculations!S47</f>
        <v>0</v>
      </c>
      <c r="V44" s="11">
        <f>-Calculations!T47</f>
        <v>0</v>
      </c>
      <c r="W44" s="11">
        <f>-Calculations!U47</f>
        <v>0</v>
      </c>
      <c r="X44" s="11">
        <f>-Calculations!V47</f>
        <v>0</v>
      </c>
      <c r="Y44" s="11">
        <f>-Calculations!W47</f>
        <v>0</v>
      </c>
      <c r="Z44" s="11">
        <f>-Calculations!X47</f>
        <v>0</v>
      </c>
      <c r="AA44" s="11">
        <f>-Calculations!Y47</f>
        <v>28306.959999999999</v>
      </c>
      <c r="AB44" s="11">
        <f>-Calculations!Z47</f>
        <v>0</v>
      </c>
      <c r="AC44" s="11">
        <f>-Calculations!AA47</f>
        <v>0</v>
      </c>
      <c r="AD44" s="11">
        <f>-Calculations!AB47</f>
        <v>0</v>
      </c>
      <c r="AE44" s="11">
        <f>-Calculations!AC47</f>
        <v>0</v>
      </c>
      <c r="AF44" s="11">
        <f>-Calculations!AD47</f>
        <v>0</v>
      </c>
      <c r="AG44" s="11">
        <f>-Calculations!AE47</f>
        <v>0</v>
      </c>
      <c r="AH44" s="11">
        <f>-Calculations!AF47</f>
        <v>0</v>
      </c>
      <c r="AI44" s="11">
        <f>-Calculations!AG47</f>
        <v>0</v>
      </c>
      <c r="AJ44" s="11"/>
      <c r="AK44" s="11"/>
      <c r="AL44" s="11"/>
      <c r="AM44" s="11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5" customFormat="1">
      <c r="A45" s="35">
        <f t="shared" si="42"/>
        <v>41</v>
      </c>
      <c r="B45" t="str">
        <f>Calculations!A48</f>
        <v>01042430</v>
      </c>
      <c r="C45" t="s">
        <v>422</v>
      </c>
      <c r="D45" s="11">
        <f>-Calculations!B48</f>
        <v>0</v>
      </c>
      <c r="E45" s="11">
        <f>-Calculations!C48</f>
        <v>0</v>
      </c>
      <c r="F45" s="11">
        <f>-Calculations!D48</f>
        <v>0</v>
      </c>
      <c r="G45" s="11">
        <f>-Calculations!E48</f>
        <v>0</v>
      </c>
      <c r="H45" s="11">
        <f>-Calculations!F48</f>
        <v>0</v>
      </c>
      <c r="I45" s="11">
        <f>-Calculations!G48</f>
        <v>0</v>
      </c>
      <c r="J45" s="11">
        <f>-Calculations!H48</f>
        <v>0</v>
      </c>
      <c r="K45" s="11">
        <f>-Calculations!I48</f>
        <v>0</v>
      </c>
      <c r="L45" s="11">
        <f>-Calculations!J48</f>
        <v>0</v>
      </c>
      <c r="M45" s="11">
        <f>-Calculations!K48</f>
        <v>0</v>
      </c>
      <c r="N45" s="11">
        <f>-Calculations!L48</f>
        <v>0</v>
      </c>
      <c r="O45" s="11">
        <f>-Calculations!M48</f>
        <v>0</v>
      </c>
      <c r="P45" s="11">
        <f>-Calculations!N48</f>
        <v>0</v>
      </c>
      <c r="Q45" s="11">
        <f>-Calculations!O48</f>
        <v>0</v>
      </c>
      <c r="R45" s="11">
        <f>-Calculations!P48</f>
        <v>0</v>
      </c>
      <c r="S45" s="11">
        <f>-Calculations!Q48</f>
        <v>0</v>
      </c>
      <c r="T45" s="11">
        <f>-Calculations!R48</f>
        <v>0</v>
      </c>
      <c r="U45" s="11">
        <f>-Calculations!S48</f>
        <v>0</v>
      </c>
      <c r="V45" s="11">
        <f>-Calculations!T48</f>
        <v>0</v>
      </c>
      <c r="W45" s="11">
        <f>-Calculations!U48</f>
        <v>0</v>
      </c>
      <c r="X45" s="11">
        <f>-Calculations!V48</f>
        <v>0</v>
      </c>
      <c r="Y45" s="11">
        <f>-Calculations!W48</f>
        <v>0</v>
      </c>
      <c r="Z45" s="11">
        <f>-Calculations!X48</f>
        <v>0</v>
      </c>
      <c r="AA45" s="11">
        <f>-Calculations!Y48</f>
        <v>85293.79</v>
      </c>
      <c r="AB45" s="11">
        <f>-Calculations!Z48</f>
        <v>0</v>
      </c>
      <c r="AC45" s="11">
        <f>-Calculations!AA48</f>
        <v>0</v>
      </c>
      <c r="AD45" s="11">
        <f>-Calculations!AB48</f>
        <v>-46420.88</v>
      </c>
      <c r="AE45" s="11">
        <f>-Calculations!AC48</f>
        <v>0</v>
      </c>
      <c r="AF45" s="11">
        <f>-Calculations!AD48</f>
        <v>0</v>
      </c>
      <c r="AG45" s="11">
        <f>-Calculations!AE48</f>
        <v>0</v>
      </c>
      <c r="AH45" s="11">
        <f>-Calculations!AF48</f>
        <v>0</v>
      </c>
      <c r="AI45" s="11">
        <f>-Calculations!AG48</f>
        <v>0</v>
      </c>
      <c r="AJ45" s="11"/>
      <c r="AK45" s="11"/>
      <c r="AL45" s="11"/>
      <c r="AM45" s="11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5" customFormat="1">
      <c r="A46" s="35">
        <f t="shared" si="42"/>
        <v>42</v>
      </c>
      <c r="B46" t="str">
        <f>Calculations!A49</f>
        <v>01042431</v>
      </c>
      <c r="C46" t="s">
        <v>423</v>
      </c>
      <c r="D46" s="11">
        <f>-Calculations!B49</f>
        <v>0</v>
      </c>
      <c r="E46" s="11">
        <f>-Calculations!C49</f>
        <v>0</v>
      </c>
      <c r="F46" s="11">
        <f>-Calculations!D49</f>
        <v>0</v>
      </c>
      <c r="G46" s="11">
        <f>-Calculations!E49</f>
        <v>0</v>
      </c>
      <c r="H46" s="11">
        <f>-Calculations!F49</f>
        <v>0</v>
      </c>
      <c r="I46" s="11">
        <f>-Calculations!G49</f>
        <v>0</v>
      </c>
      <c r="J46" s="11">
        <f>-Calculations!H49</f>
        <v>0</v>
      </c>
      <c r="K46" s="11">
        <f>-Calculations!I49</f>
        <v>0</v>
      </c>
      <c r="L46" s="11">
        <f>-Calculations!J49</f>
        <v>0</v>
      </c>
      <c r="M46" s="11">
        <f>-Calculations!K49</f>
        <v>0</v>
      </c>
      <c r="N46" s="11">
        <f>-Calculations!L49</f>
        <v>0</v>
      </c>
      <c r="O46" s="11">
        <f>-Calculations!M49</f>
        <v>0</v>
      </c>
      <c r="P46" s="11">
        <f>-Calculations!N49</f>
        <v>0</v>
      </c>
      <c r="Q46" s="11">
        <f>-Calculations!O49</f>
        <v>0</v>
      </c>
      <c r="R46" s="11">
        <f>-Calculations!P49</f>
        <v>0</v>
      </c>
      <c r="S46" s="11">
        <f>-Calculations!Q49</f>
        <v>0</v>
      </c>
      <c r="T46" s="11">
        <f>-Calculations!R49</f>
        <v>0</v>
      </c>
      <c r="U46" s="11">
        <f>-Calculations!S49</f>
        <v>0</v>
      </c>
      <c r="V46" s="11">
        <f>-Calculations!T49</f>
        <v>0</v>
      </c>
      <c r="W46" s="11">
        <f>-Calculations!U49</f>
        <v>0</v>
      </c>
      <c r="X46" s="11">
        <f>-Calculations!V49</f>
        <v>0</v>
      </c>
      <c r="Y46" s="11">
        <f>-Calculations!W49</f>
        <v>0</v>
      </c>
      <c r="Z46" s="11">
        <f>-Calculations!X49</f>
        <v>0</v>
      </c>
      <c r="AA46" s="11">
        <f>-Calculations!Y49</f>
        <v>42471.48</v>
      </c>
      <c r="AB46" s="11">
        <f>-Calculations!Z49</f>
        <v>0</v>
      </c>
      <c r="AC46" s="11">
        <f>-Calculations!AA49</f>
        <v>0</v>
      </c>
      <c r="AD46" s="11">
        <f>-Calculations!AB49</f>
        <v>626.28</v>
      </c>
      <c r="AE46" s="11">
        <f>-Calculations!AC49</f>
        <v>0</v>
      </c>
      <c r="AF46" s="11">
        <f>-Calculations!AD49</f>
        <v>0</v>
      </c>
      <c r="AG46" s="11">
        <f>-Calculations!AE49</f>
        <v>0</v>
      </c>
      <c r="AH46" s="11">
        <f>-Calculations!AF49</f>
        <v>0</v>
      </c>
      <c r="AI46" s="11">
        <f>-Calculations!AG49</f>
        <v>0</v>
      </c>
      <c r="AJ46" s="11"/>
      <c r="AK46" s="11"/>
      <c r="AL46" s="11"/>
      <c r="AM46" s="11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5" customFormat="1">
      <c r="A47" s="35">
        <f t="shared" si="42"/>
        <v>43</v>
      </c>
      <c r="B47" t="str">
        <f>Calculations!A50</f>
        <v>01042470</v>
      </c>
      <c r="C47" t="s">
        <v>424</v>
      </c>
      <c r="D47" s="11">
        <f>-Calculations!B50</f>
        <v>0</v>
      </c>
      <c r="E47" s="11">
        <f>-Calculations!C50</f>
        <v>0</v>
      </c>
      <c r="F47" s="11">
        <f>-Calculations!D50</f>
        <v>0</v>
      </c>
      <c r="G47" s="11">
        <f>-Calculations!E50</f>
        <v>0</v>
      </c>
      <c r="H47" s="11">
        <f>-Calculations!F50</f>
        <v>0</v>
      </c>
      <c r="I47" s="11">
        <f>-Calculations!G50</f>
        <v>0</v>
      </c>
      <c r="J47" s="11">
        <f>-Calculations!H50</f>
        <v>0</v>
      </c>
      <c r="K47" s="11">
        <f>-Calculations!I50</f>
        <v>0</v>
      </c>
      <c r="L47" s="11">
        <f>-Calculations!J50</f>
        <v>0</v>
      </c>
      <c r="M47" s="11">
        <f>-Calculations!K50</f>
        <v>0</v>
      </c>
      <c r="N47" s="11">
        <f>-Calculations!L50</f>
        <v>0</v>
      </c>
      <c r="O47" s="11">
        <f>-Calculations!M50</f>
        <v>0</v>
      </c>
      <c r="P47" s="11">
        <f>-Calculations!N50</f>
        <v>0</v>
      </c>
      <c r="Q47" s="11">
        <f>-Calculations!O50</f>
        <v>0</v>
      </c>
      <c r="R47" s="11">
        <f>-Calculations!P50</f>
        <v>0</v>
      </c>
      <c r="S47" s="11">
        <f>-Calculations!Q50</f>
        <v>0</v>
      </c>
      <c r="T47" s="11">
        <f>-Calculations!R50</f>
        <v>0</v>
      </c>
      <c r="U47" s="11">
        <f>-Calculations!S50</f>
        <v>0</v>
      </c>
      <c r="V47" s="11">
        <f>-Calculations!T50</f>
        <v>0</v>
      </c>
      <c r="W47" s="11">
        <f>-Calculations!U50</f>
        <v>0</v>
      </c>
      <c r="X47" s="11">
        <f>-Calculations!V50</f>
        <v>0</v>
      </c>
      <c r="Y47" s="11">
        <f>-Calculations!W50</f>
        <v>0</v>
      </c>
      <c r="Z47" s="11">
        <f>-Calculations!X50</f>
        <v>0</v>
      </c>
      <c r="AA47" s="11">
        <f>-Calculations!Y50</f>
        <v>11188.21</v>
      </c>
      <c r="AB47" s="11">
        <f>-Calculations!Z50</f>
        <v>0</v>
      </c>
      <c r="AC47" s="11">
        <f>-Calculations!AA50</f>
        <v>0</v>
      </c>
      <c r="AD47" s="11">
        <f>-Calculations!AB50</f>
        <v>21758.07</v>
      </c>
      <c r="AE47" s="11">
        <f>-Calculations!AC50</f>
        <v>0</v>
      </c>
      <c r="AF47" s="11">
        <f>-Calculations!AD50</f>
        <v>0</v>
      </c>
      <c r="AG47" s="11">
        <f>-Calculations!AE50</f>
        <v>0</v>
      </c>
      <c r="AH47" s="11">
        <f>-Calculations!AF50</f>
        <v>0</v>
      </c>
      <c r="AI47" s="11">
        <f>-Calculations!AG50</f>
        <v>0</v>
      </c>
      <c r="AJ47" s="11"/>
      <c r="AK47" s="11"/>
      <c r="AL47" s="11"/>
      <c r="AM47" s="11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5" customFormat="1">
      <c r="A48" s="35">
        <f t="shared" si="42"/>
        <v>44</v>
      </c>
      <c r="B48" t="str">
        <f>Calculations!A51</f>
        <v>01042622</v>
      </c>
      <c r="C48" t="s">
        <v>425</v>
      </c>
      <c r="D48" s="11">
        <f>-Calculations!B51</f>
        <v>0</v>
      </c>
      <c r="E48" s="11">
        <f>-Calculations!C51</f>
        <v>0</v>
      </c>
      <c r="F48" s="11">
        <f>-Calculations!D51</f>
        <v>0</v>
      </c>
      <c r="G48" s="11">
        <f>-Calculations!E51</f>
        <v>0</v>
      </c>
      <c r="H48" s="11">
        <f>-Calculations!F51</f>
        <v>0</v>
      </c>
      <c r="I48" s="11">
        <f>-Calculations!G51</f>
        <v>0</v>
      </c>
      <c r="J48" s="11">
        <f>-Calculations!H51</f>
        <v>0</v>
      </c>
      <c r="K48" s="11">
        <f>-Calculations!I51</f>
        <v>0</v>
      </c>
      <c r="L48" s="11">
        <f>-Calculations!J51</f>
        <v>0</v>
      </c>
      <c r="M48" s="11">
        <f>-Calculations!K51</f>
        <v>0</v>
      </c>
      <c r="N48" s="11">
        <f>-Calculations!L51</f>
        <v>0</v>
      </c>
      <c r="O48" s="11">
        <f>-Calculations!M51</f>
        <v>0</v>
      </c>
      <c r="P48" s="11">
        <f>-Calculations!N51</f>
        <v>0</v>
      </c>
      <c r="Q48" s="11">
        <f>-Calculations!O51</f>
        <v>0</v>
      </c>
      <c r="R48" s="11">
        <f>-Calculations!P51</f>
        <v>0</v>
      </c>
      <c r="S48" s="11">
        <f>-Calculations!Q51</f>
        <v>0</v>
      </c>
      <c r="T48" s="11">
        <f>-Calculations!R51</f>
        <v>0</v>
      </c>
      <c r="U48" s="11">
        <f>-Calculations!S51</f>
        <v>0</v>
      </c>
      <c r="V48" s="11">
        <f>-Calculations!T51</f>
        <v>0</v>
      </c>
      <c r="W48" s="11">
        <f>-Calculations!U51</f>
        <v>0</v>
      </c>
      <c r="X48" s="11">
        <f>-Calculations!V51</f>
        <v>0</v>
      </c>
      <c r="Y48" s="11">
        <f>-Calculations!W51</f>
        <v>0</v>
      </c>
      <c r="Z48" s="11">
        <f>-Calculations!X51</f>
        <v>0</v>
      </c>
      <c r="AA48" s="11">
        <f>-Calculations!Y51</f>
        <v>0</v>
      </c>
      <c r="AB48" s="11">
        <f>-Calculations!Z51</f>
        <v>0</v>
      </c>
      <c r="AC48" s="11">
        <f>-Calculations!AA51</f>
        <v>0</v>
      </c>
      <c r="AD48" s="11">
        <f>-Calculations!AB51</f>
        <v>0</v>
      </c>
      <c r="AE48" s="11">
        <f>-Calculations!AC51</f>
        <v>1015781.92</v>
      </c>
      <c r="AF48" s="11">
        <f>-Calculations!AD51</f>
        <v>16663.419999999998</v>
      </c>
      <c r="AG48" s="11">
        <f>-Calculations!AE51</f>
        <v>7190.8600000000006</v>
      </c>
      <c r="AH48" s="11">
        <f>-Calculations!AF51</f>
        <v>-1255.8800000000001</v>
      </c>
      <c r="AI48" s="11">
        <f>-Calculations!AG51</f>
        <v>0</v>
      </c>
      <c r="AJ48" s="11"/>
      <c r="AK48" s="11"/>
      <c r="AL48" s="11"/>
      <c r="AM48" s="11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4" s="5" customFormat="1">
      <c r="A49" s="35">
        <f t="shared" si="42"/>
        <v>45</v>
      </c>
      <c r="B49" t="str">
        <f>Calculations!A52</f>
        <v>01042423</v>
      </c>
      <c r="C49" t="s">
        <v>421</v>
      </c>
      <c r="D49" s="11">
        <f>-Calculations!B52</f>
        <v>0</v>
      </c>
      <c r="E49" s="11">
        <f>-Calculations!C52</f>
        <v>0</v>
      </c>
      <c r="F49" s="11">
        <f>-Calculations!D52</f>
        <v>0</v>
      </c>
      <c r="G49" s="11">
        <f>-Calculations!E52</f>
        <v>0</v>
      </c>
      <c r="H49" s="11">
        <f>-Calculations!F52</f>
        <v>0</v>
      </c>
      <c r="I49" s="11">
        <f>-Calculations!G52</f>
        <v>0</v>
      </c>
      <c r="J49" s="11">
        <f>-Calculations!H52</f>
        <v>0</v>
      </c>
      <c r="K49" s="11">
        <f>-Calculations!I52</f>
        <v>0</v>
      </c>
      <c r="L49" s="11">
        <f>-Calculations!J52</f>
        <v>0</v>
      </c>
      <c r="M49" s="11">
        <f>-Calculations!K52</f>
        <v>0</v>
      </c>
      <c r="N49" s="11">
        <f>-Calculations!L52</f>
        <v>0</v>
      </c>
      <c r="O49" s="11">
        <f>-Calculations!M52</f>
        <v>0</v>
      </c>
      <c r="P49" s="11">
        <f>-Calculations!N52</f>
        <v>0</v>
      </c>
      <c r="Q49" s="11">
        <f>-Calculations!O52</f>
        <v>0</v>
      </c>
      <c r="R49" s="11">
        <f>-Calculations!P52</f>
        <v>0</v>
      </c>
      <c r="S49" s="11">
        <f>-Calculations!Q52</f>
        <v>0</v>
      </c>
      <c r="T49" s="11">
        <f>-Calculations!R52</f>
        <v>0</v>
      </c>
      <c r="U49" s="11">
        <f>-Calculations!S52</f>
        <v>0</v>
      </c>
      <c r="V49" s="11">
        <f>-Calculations!T52</f>
        <v>0</v>
      </c>
      <c r="W49" s="11">
        <f>-Calculations!U52</f>
        <v>0</v>
      </c>
      <c r="X49" s="11">
        <f>-Calculations!V52</f>
        <v>0</v>
      </c>
      <c r="Y49" s="11">
        <f>-Calculations!W52</f>
        <v>0</v>
      </c>
      <c r="Z49" s="11">
        <f>-Calculations!X52</f>
        <v>0</v>
      </c>
      <c r="AA49" s="11">
        <f>-Calculations!Y52</f>
        <v>0</v>
      </c>
      <c r="AB49" s="11">
        <f>-Calculations!Z52</f>
        <v>0</v>
      </c>
      <c r="AC49" s="11">
        <f>-Calculations!AA52</f>
        <v>0</v>
      </c>
      <c r="AD49" s="11">
        <f>-Calculations!AB52</f>
        <v>0</v>
      </c>
      <c r="AE49" s="11">
        <f>-Calculations!AC52</f>
        <v>0</v>
      </c>
      <c r="AF49" s="11">
        <f>-Calculations!AD52</f>
        <v>0</v>
      </c>
      <c r="AG49" s="11">
        <f>-Calculations!AE52</f>
        <v>1228386.54</v>
      </c>
      <c r="AH49" s="11">
        <f>-Calculations!AF52</f>
        <v>0</v>
      </c>
      <c r="AI49" s="11">
        <f>-Calculations!AG52</f>
        <v>0</v>
      </c>
      <c r="AJ49" s="11"/>
      <c r="AK49" s="11"/>
      <c r="AL49" s="11"/>
      <c r="AM49" s="11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4" s="5" customFormat="1">
      <c r="A50" s="35">
        <f t="shared" si="42"/>
        <v>46</v>
      </c>
      <c r="B50" t="str">
        <f>Calculations!A53</f>
        <v>01042424</v>
      </c>
      <c r="C50" t="s">
        <v>294</v>
      </c>
      <c r="D50" s="11">
        <f>-Calculations!B53</f>
        <v>0</v>
      </c>
      <c r="E50" s="11">
        <f>-Calculations!C53</f>
        <v>0</v>
      </c>
      <c r="F50" s="11">
        <f>-Calculations!D53</f>
        <v>0</v>
      </c>
      <c r="G50" s="11">
        <f>-Calculations!E53</f>
        <v>0</v>
      </c>
      <c r="H50" s="11">
        <f>-Calculations!F53</f>
        <v>0</v>
      </c>
      <c r="I50" s="11">
        <f>-Calculations!G53</f>
        <v>0</v>
      </c>
      <c r="J50" s="11">
        <f>-Calculations!H53</f>
        <v>0</v>
      </c>
      <c r="K50" s="11">
        <f>-Calculations!I53</f>
        <v>0</v>
      </c>
      <c r="L50" s="11">
        <f>-Calculations!J53</f>
        <v>0</v>
      </c>
      <c r="M50" s="11">
        <f>-Calculations!K53</f>
        <v>0</v>
      </c>
      <c r="N50" s="11">
        <f>-Calculations!L53</f>
        <v>0</v>
      </c>
      <c r="O50" s="11">
        <f>-Calculations!M53</f>
        <v>0</v>
      </c>
      <c r="P50" s="11">
        <f>-Calculations!N53</f>
        <v>0</v>
      </c>
      <c r="Q50" s="11">
        <f>-Calculations!O53</f>
        <v>0</v>
      </c>
      <c r="R50" s="11">
        <f>-Calculations!P53</f>
        <v>0</v>
      </c>
      <c r="S50" s="11">
        <f>-Calculations!Q53</f>
        <v>0</v>
      </c>
      <c r="T50" s="11">
        <f>-Calculations!R53</f>
        <v>0</v>
      </c>
      <c r="U50" s="11">
        <f>-Calculations!S53</f>
        <v>0</v>
      </c>
      <c r="V50" s="11">
        <f>-Calculations!T53</f>
        <v>0</v>
      </c>
      <c r="W50" s="11">
        <f>-Calculations!U53</f>
        <v>0</v>
      </c>
      <c r="X50" s="11">
        <f>-Calculations!V53</f>
        <v>3117728.43</v>
      </c>
      <c r="Y50" s="11">
        <f>-Calculations!W53</f>
        <v>107931.93</v>
      </c>
      <c r="Z50" s="11">
        <f>-Calculations!X53</f>
        <v>0</v>
      </c>
      <c r="AA50" s="11">
        <f>-Calculations!Y53</f>
        <v>0</v>
      </c>
      <c r="AB50" s="11">
        <f>-Calculations!Z53</f>
        <v>0</v>
      </c>
      <c r="AC50" s="11">
        <f>-Calculations!AA53</f>
        <v>0</v>
      </c>
      <c r="AD50" s="11">
        <f>-Calculations!AB53</f>
        <v>0</v>
      </c>
      <c r="AE50" s="11">
        <f>-Calculations!AC53</f>
        <v>0</v>
      </c>
      <c r="AF50" s="11">
        <f>-Calculations!AD53</f>
        <v>0</v>
      </c>
      <c r="AG50" s="11">
        <f>-Calculations!AE53</f>
        <v>0</v>
      </c>
      <c r="AH50" s="11">
        <f>-Calculations!AF53</f>
        <v>0</v>
      </c>
      <c r="AI50" s="11">
        <f>-Calculations!AG53</f>
        <v>0</v>
      </c>
      <c r="AJ50" s="11"/>
      <c r="AK50" s="11"/>
      <c r="AL50" s="11"/>
      <c r="AM50" s="11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4" s="5" customFormat="1">
      <c r="A51" s="35">
        <f t="shared" si="42"/>
        <v>47</v>
      </c>
      <c r="B51" t="str">
        <f>Calculations!A54</f>
        <v>01042813</v>
      </c>
      <c r="C51" t="s">
        <v>295</v>
      </c>
      <c r="D51" s="11">
        <f>-Calculations!B54</f>
        <v>0</v>
      </c>
      <c r="E51" s="11">
        <f>-Calculations!C54</f>
        <v>0</v>
      </c>
      <c r="F51" s="11">
        <f>-Calculations!D54</f>
        <v>0</v>
      </c>
      <c r="G51" s="11">
        <f>-Calculations!E54</f>
        <v>0</v>
      </c>
      <c r="H51" s="11">
        <f>-Calculations!F54</f>
        <v>0</v>
      </c>
      <c r="I51" s="11">
        <f>-Calculations!G54</f>
        <v>0</v>
      </c>
      <c r="J51" s="11">
        <f>-Calculations!H54</f>
        <v>0</v>
      </c>
      <c r="K51" s="11">
        <f>-Calculations!I54</f>
        <v>0</v>
      </c>
      <c r="L51" s="11">
        <f>-Calculations!J54</f>
        <v>0</v>
      </c>
      <c r="M51" s="11">
        <f>-Calculations!K54</f>
        <v>0</v>
      </c>
      <c r="N51" s="11">
        <f>-Calculations!L54</f>
        <v>0</v>
      </c>
      <c r="O51" s="11">
        <f>-Calculations!M54</f>
        <v>0</v>
      </c>
      <c r="P51" s="11">
        <f>-Calculations!N54</f>
        <v>0</v>
      </c>
      <c r="Q51" s="11">
        <f>-Calculations!O54</f>
        <v>0</v>
      </c>
      <c r="R51" s="11">
        <f>-Calculations!P54</f>
        <v>0</v>
      </c>
      <c r="S51" s="11">
        <f>-Calculations!Q54</f>
        <v>0</v>
      </c>
      <c r="T51" s="11">
        <f>-Calculations!R54</f>
        <v>0</v>
      </c>
      <c r="U51" s="11">
        <f>-Calculations!S54</f>
        <v>0</v>
      </c>
      <c r="V51" s="11">
        <f>-Calculations!T54</f>
        <v>0</v>
      </c>
      <c r="W51" s="11">
        <f>-Calculations!U54</f>
        <v>0</v>
      </c>
      <c r="X51" s="11">
        <f>-Calculations!V54</f>
        <v>100391.95</v>
      </c>
      <c r="Y51" s="11">
        <f>-Calculations!W54</f>
        <v>0</v>
      </c>
      <c r="Z51" s="11">
        <f>-Calculations!X54</f>
        <v>2433683.4099999997</v>
      </c>
      <c r="AA51" s="11">
        <f>-Calculations!Y54</f>
        <v>516099.15</v>
      </c>
      <c r="AB51" s="11">
        <f>-Calculations!Z54</f>
        <v>186003.46</v>
      </c>
      <c r="AC51" s="11">
        <f>-Calculations!AA54</f>
        <v>0</v>
      </c>
      <c r="AD51" s="11">
        <f>-Calculations!AB54</f>
        <v>3256.6899999999996</v>
      </c>
      <c r="AE51" s="11">
        <f>-Calculations!AC54</f>
        <v>103.12</v>
      </c>
      <c r="AF51" s="11">
        <f>-Calculations!AD54</f>
        <v>0</v>
      </c>
      <c r="AG51" s="11">
        <f>-Calculations!AE54</f>
        <v>0</v>
      </c>
      <c r="AH51" s="11">
        <f>-Calculations!AF54</f>
        <v>0</v>
      </c>
      <c r="AI51" s="11">
        <f>-Calculations!AG54</f>
        <v>0</v>
      </c>
      <c r="AJ51" s="11"/>
      <c r="AK51" s="11"/>
      <c r="AL51" s="11"/>
      <c r="AM51" s="11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4" s="5" customFormat="1">
      <c r="A52" s="35">
        <f t="shared" si="42"/>
        <v>48</v>
      </c>
      <c r="B52" t="str">
        <f>Calculations!A55</f>
        <v>01042818</v>
      </c>
      <c r="C52" t="s">
        <v>296</v>
      </c>
      <c r="D52" s="11">
        <f>-Calculations!B55</f>
        <v>0</v>
      </c>
      <c r="E52" s="11">
        <f>-Calculations!C55</f>
        <v>0</v>
      </c>
      <c r="F52" s="11">
        <f>-Calculations!D55</f>
        <v>0</v>
      </c>
      <c r="G52" s="11">
        <f>-Calculations!E55</f>
        <v>0</v>
      </c>
      <c r="H52" s="11">
        <f>-Calculations!F55</f>
        <v>0</v>
      </c>
      <c r="I52" s="11">
        <f>-Calculations!G55</f>
        <v>0</v>
      </c>
      <c r="J52" s="11">
        <f>-Calculations!H55</f>
        <v>0</v>
      </c>
      <c r="K52" s="11">
        <f>-Calculations!I55</f>
        <v>0</v>
      </c>
      <c r="L52" s="11">
        <f>-Calculations!J55</f>
        <v>0</v>
      </c>
      <c r="M52" s="11">
        <f>-Calculations!K55</f>
        <v>0</v>
      </c>
      <c r="N52" s="11">
        <f>-Calculations!L55</f>
        <v>0</v>
      </c>
      <c r="O52" s="11">
        <f>-Calculations!M55</f>
        <v>0</v>
      </c>
      <c r="P52" s="11">
        <f>-Calculations!N55</f>
        <v>0</v>
      </c>
      <c r="Q52" s="11">
        <f>-Calculations!O55</f>
        <v>0</v>
      </c>
      <c r="R52" s="11">
        <f>-Calculations!P55</f>
        <v>0</v>
      </c>
      <c r="S52" s="11">
        <f>-Calculations!Q55</f>
        <v>0</v>
      </c>
      <c r="T52" s="11">
        <f>-Calculations!R55</f>
        <v>0</v>
      </c>
      <c r="U52" s="11">
        <f>-Calculations!S55</f>
        <v>0</v>
      </c>
      <c r="V52" s="11">
        <f>-Calculations!T55</f>
        <v>0</v>
      </c>
      <c r="W52" s="11">
        <f>-Calculations!U55</f>
        <v>0</v>
      </c>
      <c r="X52" s="11">
        <f>-Calculations!V55</f>
        <v>631679.62</v>
      </c>
      <c r="Y52" s="11">
        <f>-Calculations!W55</f>
        <v>9546.32</v>
      </c>
      <c r="Z52" s="11">
        <f>-Calculations!X55</f>
        <v>0</v>
      </c>
      <c r="AA52" s="11">
        <f>-Calculations!Y55</f>
        <v>0</v>
      </c>
      <c r="AB52" s="11">
        <f>-Calculations!Z55</f>
        <v>0</v>
      </c>
      <c r="AC52" s="11">
        <f>-Calculations!AA55</f>
        <v>0</v>
      </c>
      <c r="AD52" s="11">
        <f>-Calculations!AB55</f>
        <v>0</v>
      </c>
      <c r="AE52" s="11">
        <f>-Calculations!AC55</f>
        <v>0</v>
      </c>
      <c r="AF52" s="11">
        <f>-Calculations!AD55</f>
        <v>0</v>
      </c>
      <c r="AG52" s="11">
        <f>-Calculations!AE55</f>
        <v>0</v>
      </c>
      <c r="AH52" s="11">
        <f>-Calculations!AF55</f>
        <v>0</v>
      </c>
      <c r="AI52" s="11">
        <f>-Calculations!AG55</f>
        <v>0</v>
      </c>
      <c r="AJ52" s="11"/>
      <c r="AK52" s="11"/>
      <c r="AL52" s="11"/>
      <c r="AM52" s="11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4" s="5" customFormat="1">
      <c r="A53" s="35">
        <f t="shared" si="42"/>
        <v>49</v>
      </c>
      <c r="B53" t="str">
        <f>Calculations!A56</f>
        <v>01042820</v>
      </c>
      <c r="C53" t="s">
        <v>297</v>
      </c>
      <c r="D53" s="11">
        <f>-Calculations!B56</f>
        <v>0</v>
      </c>
      <c r="E53" s="11">
        <f>-Calculations!C56</f>
        <v>0</v>
      </c>
      <c r="F53" s="11">
        <f>-Calculations!D56</f>
        <v>0</v>
      </c>
      <c r="G53" s="11">
        <f>-Calculations!E56</f>
        <v>0</v>
      </c>
      <c r="H53" s="11">
        <f>-Calculations!F56</f>
        <v>0</v>
      </c>
      <c r="I53" s="11">
        <f>-Calculations!G56</f>
        <v>0</v>
      </c>
      <c r="J53" s="11">
        <f>-Calculations!H56</f>
        <v>0</v>
      </c>
      <c r="K53" s="11">
        <f>-Calculations!I56</f>
        <v>0</v>
      </c>
      <c r="L53" s="11">
        <f>-Calculations!J56</f>
        <v>0</v>
      </c>
      <c r="M53" s="11">
        <f>-Calculations!K56</f>
        <v>0</v>
      </c>
      <c r="N53" s="11">
        <f>-Calculations!L56</f>
        <v>0</v>
      </c>
      <c r="O53" s="11">
        <f>-Calculations!M56</f>
        <v>0</v>
      </c>
      <c r="P53" s="11">
        <f>-Calculations!N56</f>
        <v>0</v>
      </c>
      <c r="Q53" s="11">
        <f>-Calculations!O56</f>
        <v>0</v>
      </c>
      <c r="R53" s="11">
        <f>-Calculations!P56</f>
        <v>0</v>
      </c>
      <c r="S53" s="11">
        <f>-Calculations!Q56</f>
        <v>0</v>
      </c>
      <c r="T53" s="11">
        <f>-Calculations!R56</f>
        <v>0</v>
      </c>
      <c r="U53" s="11">
        <f>-Calculations!S56</f>
        <v>0</v>
      </c>
      <c r="V53" s="11">
        <f>-Calculations!T56</f>
        <v>0</v>
      </c>
      <c r="W53" s="11">
        <f>-Calculations!U56</f>
        <v>0</v>
      </c>
      <c r="X53" s="11">
        <f>-Calculations!V56</f>
        <v>864319.41999999993</v>
      </c>
      <c r="Y53" s="11">
        <f>-Calculations!W56</f>
        <v>16237.11</v>
      </c>
      <c r="Z53" s="11">
        <f>-Calculations!X56</f>
        <v>0</v>
      </c>
      <c r="AA53" s="11">
        <f>-Calculations!Y56</f>
        <v>0</v>
      </c>
      <c r="AB53" s="11">
        <f>-Calculations!Z56</f>
        <v>0</v>
      </c>
      <c r="AC53" s="11">
        <f>-Calculations!AA56</f>
        <v>0</v>
      </c>
      <c r="AD53" s="11">
        <f>-Calculations!AB56</f>
        <v>0</v>
      </c>
      <c r="AE53" s="11">
        <f>-Calculations!AC56</f>
        <v>0</v>
      </c>
      <c r="AF53" s="11">
        <f>-Calculations!AD56</f>
        <v>0</v>
      </c>
      <c r="AG53" s="11">
        <f>-Calculations!AE56</f>
        <v>0</v>
      </c>
      <c r="AH53" s="11">
        <f>-Calculations!AF56</f>
        <v>0</v>
      </c>
      <c r="AI53" s="11">
        <f>-Calculations!AG56</f>
        <v>0</v>
      </c>
      <c r="AJ53" s="11"/>
      <c r="AK53" s="11"/>
      <c r="AL53" s="11"/>
      <c r="AM53" s="11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4" s="5" customFormat="1">
      <c r="A54" s="35">
        <f t="shared" si="42"/>
        <v>50</v>
      </c>
      <c r="B54" t="str">
        <f>Calculations!A57</f>
        <v>01043285</v>
      </c>
      <c r="C54" t="s">
        <v>426</v>
      </c>
      <c r="D54" s="11">
        <f>-Calculations!B57</f>
        <v>0</v>
      </c>
      <c r="E54" s="11">
        <f>-Calculations!C57</f>
        <v>0</v>
      </c>
      <c r="F54" s="11">
        <f>-Calculations!D57</f>
        <v>0</v>
      </c>
      <c r="G54" s="11">
        <f>-Calculations!E57</f>
        <v>0</v>
      </c>
      <c r="H54" s="11">
        <f>-Calculations!F57</f>
        <v>0</v>
      </c>
      <c r="I54" s="11">
        <f>-Calculations!G57</f>
        <v>0</v>
      </c>
      <c r="J54" s="11">
        <f>-Calculations!H57</f>
        <v>0</v>
      </c>
      <c r="K54" s="11">
        <f>-Calculations!I57</f>
        <v>0</v>
      </c>
      <c r="L54" s="11">
        <f>-Calculations!J57</f>
        <v>0</v>
      </c>
      <c r="M54" s="11">
        <f>-Calculations!K57</f>
        <v>0</v>
      </c>
      <c r="N54" s="11">
        <f>-Calculations!L57</f>
        <v>0</v>
      </c>
      <c r="O54" s="11">
        <f>-Calculations!M57</f>
        <v>0</v>
      </c>
      <c r="P54" s="11">
        <f>-Calculations!N57</f>
        <v>0</v>
      </c>
      <c r="Q54" s="11">
        <f>-Calculations!O57</f>
        <v>0</v>
      </c>
      <c r="R54" s="11">
        <f>-Calculations!P57</f>
        <v>0</v>
      </c>
      <c r="S54" s="11">
        <f>-Calculations!Q57</f>
        <v>0</v>
      </c>
      <c r="T54" s="11">
        <f>-Calculations!R57</f>
        <v>0</v>
      </c>
      <c r="U54" s="11">
        <f>-Calculations!S57</f>
        <v>0</v>
      </c>
      <c r="V54" s="11">
        <f>-Calculations!T57</f>
        <v>0</v>
      </c>
      <c r="W54" s="11">
        <f>-Calculations!U57</f>
        <v>0</v>
      </c>
      <c r="X54" s="11">
        <f>-Calculations!V57</f>
        <v>0</v>
      </c>
      <c r="Y54" s="11">
        <f>-Calculations!W57</f>
        <v>0</v>
      </c>
      <c r="Z54" s="11">
        <f>-Calculations!X57</f>
        <v>0</v>
      </c>
      <c r="AA54" s="11">
        <f>-Calculations!Y57</f>
        <v>0</v>
      </c>
      <c r="AB54" s="11">
        <f>-Calculations!Z57</f>
        <v>0</v>
      </c>
      <c r="AC54" s="11">
        <f>-Calculations!AA57</f>
        <v>0</v>
      </c>
      <c r="AD54" s="11">
        <f>-Calculations!AB57</f>
        <v>0</v>
      </c>
      <c r="AE54" s="11">
        <f>-Calculations!AC57</f>
        <v>0</v>
      </c>
      <c r="AF54" s="11">
        <f>-Calculations!AD57</f>
        <v>0</v>
      </c>
      <c r="AG54" s="11">
        <f>-Calculations!AE57</f>
        <v>0</v>
      </c>
      <c r="AH54" s="11">
        <f>-Calculations!AF57</f>
        <v>1101893.1399999999</v>
      </c>
      <c r="AI54" s="11">
        <f>-Calculations!AG57</f>
        <v>0</v>
      </c>
      <c r="AJ54" s="11"/>
      <c r="AK54" s="11"/>
      <c r="AL54" s="11"/>
      <c r="AM54" s="11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4" s="5" customFormat="1">
      <c r="A55" s="35">
        <f t="shared" si="42"/>
        <v>51</v>
      </c>
      <c r="B55" t="str">
        <f>Calculations!A58</f>
        <v>01043252</v>
      </c>
      <c r="C55" t="s">
        <v>427</v>
      </c>
      <c r="D55" s="11">
        <f>-Calculations!B58</f>
        <v>0</v>
      </c>
      <c r="E55" s="11">
        <f>-Calculations!C58</f>
        <v>0</v>
      </c>
      <c r="F55" s="11">
        <f>-Calculations!D58</f>
        <v>0</v>
      </c>
      <c r="G55" s="11">
        <f>-Calculations!E58</f>
        <v>0</v>
      </c>
      <c r="H55" s="11">
        <f>-Calculations!F58</f>
        <v>0</v>
      </c>
      <c r="I55" s="11">
        <f>-Calculations!G58</f>
        <v>0</v>
      </c>
      <c r="J55" s="11">
        <f>-Calculations!H58</f>
        <v>0</v>
      </c>
      <c r="K55" s="11">
        <f>-Calculations!I58</f>
        <v>0</v>
      </c>
      <c r="L55" s="11">
        <f>-Calculations!J58</f>
        <v>0</v>
      </c>
      <c r="M55" s="11">
        <f>-Calculations!K58</f>
        <v>0</v>
      </c>
      <c r="N55" s="11">
        <f>-Calculations!L58</f>
        <v>0</v>
      </c>
      <c r="O55" s="11">
        <f>-Calculations!M58</f>
        <v>0</v>
      </c>
      <c r="P55" s="11">
        <f>-Calculations!N58</f>
        <v>0</v>
      </c>
      <c r="Q55" s="11">
        <f>-Calculations!O58</f>
        <v>0</v>
      </c>
      <c r="R55" s="11">
        <f>-Calculations!P58</f>
        <v>0</v>
      </c>
      <c r="S55" s="11">
        <f>-Calculations!Q58</f>
        <v>0</v>
      </c>
      <c r="T55" s="11">
        <f>-Calculations!R58</f>
        <v>0</v>
      </c>
      <c r="U55" s="11">
        <f>-Calculations!S58</f>
        <v>0</v>
      </c>
      <c r="V55" s="11">
        <f>-Calculations!T58</f>
        <v>0</v>
      </c>
      <c r="W55" s="11">
        <f>-Calculations!U58</f>
        <v>0</v>
      </c>
      <c r="X55" s="11">
        <f>-Calculations!V58</f>
        <v>0</v>
      </c>
      <c r="Y55" s="11">
        <f>-Calculations!W58</f>
        <v>0</v>
      </c>
      <c r="Z55" s="11">
        <f>-Calculations!X58</f>
        <v>0</v>
      </c>
      <c r="AA55" s="11">
        <f>-Calculations!Y58</f>
        <v>0</v>
      </c>
      <c r="AB55" s="11">
        <f>-Calculations!Z58</f>
        <v>0</v>
      </c>
      <c r="AC55" s="11">
        <f>-Calculations!AA58</f>
        <v>0</v>
      </c>
      <c r="AD55" s="11">
        <f>-Calculations!AB58</f>
        <v>0</v>
      </c>
      <c r="AE55" s="11">
        <f>-Calculations!AC58</f>
        <v>0</v>
      </c>
      <c r="AF55" s="11">
        <f>-Calculations!AD58</f>
        <v>0</v>
      </c>
      <c r="AG55" s="11">
        <f>-Calculations!AE58</f>
        <v>0</v>
      </c>
      <c r="AH55" s="11">
        <f>-Calculations!AF58</f>
        <v>0</v>
      </c>
      <c r="AI55" s="11">
        <f>-Calculations!AG58</f>
        <v>3254755.4299999997</v>
      </c>
      <c r="AJ55" s="11"/>
      <c r="AK55" s="11"/>
      <c r="AL55" s="11"/>
      <c r="AM55" s="11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4" s="5" customFormat="1">
      <c r="A56" s="35">
        <f t="shared" si="42"/>
        <v>52</v>
      </c>
      <c r="B56" t="str">
        <f>Calculations!A59</f>
        <v>01043518</v>
      </c>
      <c r="C56" t="s">
        <v>428</v>
      </c>
      <c r="D56" s="11">
        <f>-Calculations!B59</f>
        <v>0</v>
      </c>
      <c r="E56" s="11">
        <f>-Calculations!C59</f>
        <v>0</v>
      </c>
      <c r="F56" s="11">
        <f>-Calculations!D59</f>
        <v>0</v>
      </c>
      <c r="G56" s="11">
        <f>-Calculations!E59</f>
        <v>0</v>
      </c>
      <c r="H56" s="11">
        <f>-Calculations!F59</f>
        <v>0</v>
      </c>
      <c r="I56" s="11">
        <f>-Calculations!G59</f>
        <v>0</v>
      </c>
      <c r="J56" s="11">
        <f>-Calculations!H59</f>
        <v>0</v>
      </c>
      <c r="K56" s="11">
        <f>-Calculations!I59</f>
        <v>0</v>
      </c>
      <c r="L56" s="11">
        <f>-Calculations!J59</f>
        <v>0</v>
      </c>
      <c r="M56" s="11">
        <f>-Calculations!K59</f>
        <v>0</v>
      </c>
      <c r="N56" s="11">
        <f>-Calculations!L59</f>
        <v>0</v>
      </c>
      <c r="O56" s="11">
        <f>-Calculations!M59</f>
        <v>0</v>
      </c>
      <c r="P56" s="11">
        <f>-Calculations!N59</f>
        <v>0</v>
      </c>
      <c r="Q56" s="11">
        <f>-Calculations!O59</f>
        <v>0</v>
      </c>
      <c r="R56" s="11">
        <f>-Calculations!P59</f>
        <v>0</v>
      </c>
      <c r="S56" s="11">
        <f>-Calculations!Q59</f>
        <v>0</v>
      </c>
      <c r="T56" s="11">
        <f>-Calculations!R59</f>
        <v>0</v>
      </c>
      <c r="U56" s="11">
        <f>-Calculations!S59</f>
        <v>0</v>
      </c>
      <c r="V56" s="11">
        <f>-Calculations!T59</f>
        <v>0</v>
      </c>
      <c r="W56" s="11">
        <f>-Calculations!U59</f>
        <v>0</v>
      </c>
      <c r="X56" s="11">
        <f>-Calculations!V59</f>
        <v>0</v>
      </c>
      <c r="Y56" s="11">
        <f>-Calculations!W59</f>
        <v>0</v>
      </c>
      <c r="Z56" s="11">
        <f>-Calculations!X59</f>
        <v>0</v>
      </c>
      <c r="AA56" s="11">
        <f>-Calculations!Y59</f>
        <v>0</v>
      </c>
      <c r="AB56" s="11">
        <f>-Calculations!Z59</f>
        <v>0</v>
      </c>
      <c r="AC56" s="11">
        <f>-Calculations!AA59</f>
        <v>0</v>
      </c>
      <c r="AD56" s="11">
        <f>-Calculations!AB59</f>
        <v>0</v>
      </c>
      <c r="AE56" s="11">
        <f>-Calculations!AC59</f>
        <v>0</v>
      </c>
      <c r="AF56" s="11">
        <f>-Calculations!AD59</f>
        <v>0</v>
      </c>
      <c r="AG56" s="11">
        <f>-Calculations!AE59</f>
        <v>0</v>
      </c>
      <c r="AH56" s="11">
        <f>-Calculations!AF59</f>
        <v>0</v>
      </c>
      <c r="AI56" s="11">
        <f>-Calculations!AG59</f>
        <v>1820912.5799999998</v>
      </c>
      <c r="AJ56" s="11"/>
      <c r="AK56" s="11"/>
      <c r="AL56" s="11"/>
      <c r="AM56" s="11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4" s="5" customFormat="1">
      <c r="A57" s="35">
        <f t="shared" si="42"/>
        <v>53</v>
      </c>
      <c r="B57" t="str">
        <f>Calculations!A60</f>
        <v>01043634</v>
      </c>
      <c r="C57" s="5" t="s">
        <v>429</v>
      </c>
      <c r="D57" s="11">
        <f>-Calculations!B60</f>
        <v>0</v>
      </c>
      <c r="E57" s="11">
        <f>-Calculations!C60</f>
        <v>0</v>
      </c>
      <c r="F57" s="11">
        <f>-Calculations!D60</f>
        <v>0</v>
      </c>
      <c r="G57" s="11">
        <f>-Calculations!E60</f>
        <v>0</v>
      </c>
      <c r="H57" s="11">
        <f>-Calculations!F60</f>
        <v>0</v>
      </c>
      <c r="I57" s="11">
        <f>-Calculations!G60</f>
        <v>0</v>
      </c>
      <c r="J57" s="11">
        <f>-Calculations!H60</f>
        <v>0</v>
      </c>
      <c r="K57" s="11">
        <f>-Calculations!I60</f>
        <v>0</v>
      </c>
      <c r="L57" s="11">
        <f>-Calculations!J60</f>
        <v>0</v>
      </c>
      <c r="M57" s="11">
        <f>-Calculations!K60</f>
        <v>0</v>
      </c>
      <c r="N57" s="11">
        <f>-Calculations!L60</f>
        <v>0</v>
      </c>
      <c r="O57" s="11">
        <f>-Calculations!M60</f>
        <v>0</v>
      </c>
      <c r="P57" s="11">
        <f>-Calculations!N60</f>
        <v>0</v>
      </c>
      <c r="Q57" s="11">
        <f>-Calculations!O60</f>
        <v>0</v>
      </c>
      <c r="R57" s="11">
        <f>-Calculations!P60</f>
        <v>0</v>
      </c>
      <c r="S57" s="11">
        <f>-Calculations!Q60</f>
        <v>0</v>
      </c>
      <c r="T57" s="11">
        <f>-Calculations!R60</f>
        <v>0</v>
      </c>
      <c r="U57" s="11">
        <f>-Calculations!S60</f>
        <v>0</v>
      </c>
      <c r="V57" s="11">
        <f>-Calculations!T60</f>
        <v>0</v>
      </c>
      <c r="W57" s="11">
        <f>-Calculations!U60</f>
        <v>0</v>
      </c>
      <c r="X57" s="11">
        <f>-Calculations!V60</f>
        <v>0</v>
      </c>
      <c r="Y57" s="11">
        <f>-Calculations!W60</f>
        <v>0</v>
      </c>
      <c r="Z57" s="11">
        <f>-Calculations!X60</f>
        <v>0</v>
      </c>
      <c r="AA57" s="11">
        <f>-Calculations!Y60</f>
        <v>0</v>
      </c>
      <c r="AB57" s="11">
        <f>-Calculations!Z60</f>
        <v>0</v>
      </c>
      <c r="AC57" s="11">
        <f>-Calculations!AA60</f>
        <v>0</v>
      </c>
      <c r="AD57" s="11">
        <f>-Calculations!AB60</f>
        <v>0</v>
      </c>
      <c r="AE57" s="11">
        <f>-Calculations!AC60</f>
        <v>0</v>
      </c>
      <c r="AF57" s="11">
        <f>-Calculations!AD60</f>
        <v>0</v>
      </c>
      <c r="AG57" s="11">
        <f>-Calculations!AE60</f>
        <v>0</v>
      </c>
      <c r="AH57" s="11">
        <f>-Calculations!AF60</f>
        <v>57094.6</v>
      </c>
      <c r="AI57" s="11">
        <f>-Calculations!AG60</f>
        <v>0</v>
      </c>
      <c r="AJ57" s="11"/>
      <c r="AK57" s="11"/>
      <c r="AL57" s="11"/>
      <c r="AM57" s="11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4" s="5" customFormat="1">
      <c r="A58" s="35">
        <f t="shared" si="42"/>
        <v>54</v>
      </c>
      <c r="B58" t="str">
        <f>Calculations!A61</f>
        <v>01043697</v>
      </c>
      <c r="C58" t="s">
        <v>430</v>
      </c>
      <c r="D58" s="11">
        <f>-Calculations!B61</f>
        <v>0</v>
      </c>
      <c r="E58" s="11">
        <f>-Calculations!C61</f>
        <v>0</v>
      </c>
      <c r="F58" s="11">
        <f>-Calculations!D61</f>
        <v>0</v>
      </c>
      <c r="G58" s="11">
        <f>-Calculations!E61</f>
        <v>0</v>
      </c>
      <c r="H58" s="11">
        <f>-Calculations!F61</f>
        <v>0</v>
      </c>
      <c r="I58" s="11">
        <f>-Calculations!G61</f>
        <v>0</v>
      </c>
      <c r="J58" s="11">
        <f>-Calculations!H61</f>
        <v>0</v>
      </c>
      <c r="K58" s="11">
        <f>-Calculations!I61</f>
        <v>0</v>
      </c>
      <c r="L58" s="11">
        <f>-Calculations!J61</f>
        <v>0</v>
      </c>
      <c r="M58" s="11">
        <f>-Calculations!K61</f>
        <v>0</v>
      </c>
      <c r="N58" s="11">
        <f>-Calculations!L61</f>
        <v>0</v>
      </c>
      <c r="O58" s="11">
        <f>-Calculations!M61</f>
        <v>0</v>
      </c>
      <c r="P58" s="11">
        <f>-Calculations!N61</f>
        <v>0</v>
      </c>
      <c r="Q58" s="11">
        <f>-Calculations!O61</f>
        <v>0</v>
      </c>
      <c r="R58" s="11">
        <f>-Calculations!P61</f>
        <v>0</v>
      </c>
      <c r="S58" s="11">
        <f>-Calculations!Q61</f>
        <v>0</v>
      </c>
      <c r="T58" s="11">
        <f>-Calculations!R61</f>
        <v>0</v>
      </c>
      <c r="U58" s="11">
        <f>-Calculations!S61</f>
        <v>0</v>
      </c>
      <c r="V58" s="11">
        <f>-Calculations!T61</f>
        <v>0</v>
      </c>
      <c r="W58" s="11">
        <f>-Calculations!U61</f>
        <v>0</v>
      </c>
      <c r="X58" s="11">
        <f>-Calculations!V61</f>
        <v>0</v>
      </c>
      <c r="Y58" s="11">
        <f>-Calculations!W61</f>
        <v>0</v>
      </c>
      <c r="Z58" s="11">
        <f>-Calculations!X61</f>
        <v>0</v>
      </c>
      <c r="AA58" s="11">
        <f>-Calculations!Y61</f>
        <v>0</v>
      </c>
      <c r="AB58" s="11">
        <f>-Calculations!Z61</f>
        <v>0</v>
      </c>
      <c r="AC58" s="11">
        <f>-Calculations!AA61</f>
        <v>0</v>
      </c>
      <c r="AD58" s="11">
        <f>-Calculations!AB61</f>
        <v>0</v>
      </c>
      <c r="AE58" s="11">
        <f>-Calculations!AC61</f>
        <v>0</v>
      </c>
      <c r="AF58" s="11">
        <f>-Calculations!AD61</f>
        <v>0</v>
      </c>
      <c r="AG58" s="11">
        <f>-Calculations!AE61</f>
        <v>0</v>
      </c>
      <c r="AH58" s="11">
        <f>-Calculations!AF61</f>
        <v>0</v>
      </c>
      <c r="AI58" s="11">
        <f>-Calculations!AG61</f>
        <v>1504625.7400000002</v>
      </c>
      <c r="AJ58" s="11"/>
      <c r="AK58" s="11"/>
      <c r="AL58" s="11"/>
      <c r="AM58" s="11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4" s="5" customFormat="1">
      <c r="A59" s="35">
        <f t="shared" si="42"/>
        <v>55</v>
      </c>
      <c r="B59" s="36"/>
      <c r="C59" s="5" t="s">
        <v>195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-325061.90000000002</v>
      </c>
      <c r="Z59" s="11"/>
      <c r="AA59" s="1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4" s="5" customFormat="1">
      <c r="A60" s="35">
        <f t="shared" si="42"/>
        <v>56</v>
      </c>
      <c r="B60" s="36"/>
      <c r="C60" s="210" t="s">
        <v>236</v>
      </c>
      <c r="D60" s="11"/>
      <c r="E60" s="11"/>
      <c r="F60" s="11"/>
      <c r="G60" s="11"/>
      <c r="H60" s="11"/>
      <c r="I60" s="11"/>
      <c r="J60" s="11"/>
      <c r="K60" s="11"/>
      <c r="L60" s="11"/>
      <c r="M60" s="179">
        <v>-36510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4">
      <c r="A61" s="35">
        <f t="shared" si="42"/>
        <v>57</v>
      </c>
      <c r="C61" s="178" t="s">
        <v>237</v>
      </c>
      <c r="M61" s="6">
        <v>-56364</v>
      </c>
      <c r="AZ61"/>
      <c r="BA61"/>
      <c r="BB61"/>
    </row>
    <row r="62" spans="1:54">
      <c r="A62" s="35">
        <f t="shared" si="42"/>
        <v>58</v>
      </c>
      <c r="C62" s="178" t="s">
        <v>182</v>
      </c>
      <c r="K62" s="11">
        <v>-57665.56</v>
      </c>
      <c r="AZ62"/>
      <c r="BA62"/>
      <c r="BB62"/>
    </row>
    <row r="63" spans="1:54">
      <c r="A63" s="35">
        <f t="shared" si="42"/>
        <v>59</v>
      </c>
      <c r="C63" s="178" t="s">
        <v>196</v>
      </c>
      <c r="K63" s="11">
        <v>-2172371.5699999998</v>
      </c>
      <c r="AZ63"/>
      <c r="BA63"/>
      <c r="BB63"/>
    </row>
    <row r="64" spans="1:54">
      <c r="A64" s="35">
        <f t="shared" si="42"/>
        <v>60</v>
      </c>
      <c r="C64" s="178" t="s">
        <v>200</v>
      </c>
      <c r="K64" s="11">
        <v>-146048.74</v>
      </c>
      <c r="AZ64"/>
      <c r="BA64"/>
      <c r="BB64"/>
    </row>
    <row r="65" spans="1:54">
      <c r="A65" s="35">
        <f t="shared" si="42"/>
        <v>61</v>
      </c>
      <c r="C65" s="178" t="s">
        <v>201</v>
      </c>
      <c r="K65" s="11">
        <v>-226875.44</v>
      </c>
      <c r="AZ65"/>
      <c r="BA65"/>
      <c r="BB65"/>
    </row>
    <row r="66" spans="1:54">
      <c r="A66" s="35">
        <f t="shared" si="42"/>
        <v>62</v>
      </c>
      <c r="C66" s="178" t="s">
        <v>219</v>
      </c>
      <c r="K66" s="11">
        <v>-56218.86</v>
      </c>
      <c r="AZ66"/>
      <c r="BA66"/>
      <c r="BB66"/>
    </row>
    <row r="67" spans="1:54">
      <c r="A67" s="35">
        <f t="shared" si="42"/>
        <v>63</v>
      </c>
      <c r="C67" s="178" t="s">
        <v>443</v>
      </c>
      <c r="K67" s="11"/>
      <c r="AI67" s="11">
        <v>-2001.54</v>
      </c>
      <c r="AZ67"/>
      <c r="BA67"/>
      <c r="BB67"/>
    </row>
    <row r="68" spans="1:54">
      <c r="A68" s="35">
        <f t="shared" si="42"/>
        <v>64</v>
      </c>
      <c r="C68" s="178" t="s">
        <v>445</v>
      </c>
      <c r="K68" s="11"/>
      <c r="P68" s="11">
        <v>-36376.519999999997</v>
      </c>
      <c r="S68" s="11"/>
      <c r="AI68" s="11">
        <v>-97922.260000000024</v>
      </c>
      <c r="AZ68"/>
      <c r="BA68"/>
      <c r="BB68"/>
    </row>
    <row r="69" spans="1:54">
      <c r="A69" s="35">
        <f t="shared" si="42"/>
        <v>65</v>
      </c>
      <c r="C69" s="178" t="s">
        <v>446</v>
      </c>
      <c r="K69" s="11"/>
      <c r="P69" s="11"/>
      <c r="S69" s="11"/>
      <c r="AI69" s="11">
        <v>-74714.989999999991</v>
      </c>
      <c r="AZ69"/>
      <c r="BA69"/>
      <c r="BB69"/>
    </row>
    <row r="70" spans="1:54">
      <c r="A70" s="35">
        <f t="shared" si="42"/>
        <v>66</v>
      </c>
      <c r="C70" s="178" t="s">
        <v>447</v>
      </c>
      <c r="K70" s="11"/>
      <c r="P70" s="11"/>
      <c r="S70" s="11"/>
      <c r="AI70" s="11">
        <v>-113338.92</v>
      </c>
      <c r="AZ70"/>
      <c r="BA70"/>
      <c r="BB70"/>
    </row>
    <row r="71" spans="1:54" ht="13.5" thickBot="1">
      <c r="A71" s="35">
        <f t="shared" si="42"/>
        <v>67</v>
      </c>
      <c r="C71" s="3" t="s">
        <v>35</v>
      </c>
      <c r="D71" s="19">
        <f t="shared" ref="D71:AY71" si="43">SUM(D5:D70)</f>
        <v>-2471.4499999999998</v>
      </c>
      <c r="E71" s="19">
        <f t="shared" si="43"/>
        <v>482126.02999999997</v>
      </c>
      <c r="F71" s="19">
        <f t="shared" si="43"/>
        <v>233275.28000000003</v>
      </c>
      <c r="G71" s="19">
        <f t="shared" si="43"/>
        <v>4682.3</v>
      </c>
      <c r="H71" s="19">
        <f t="shared" si="43"/>
        <v>559969.11</v>
      </c>
      <c r="I71" s="19">
        <f t="shared" si="43"/>
        <v>11043631.569999998</v>
      </c>
      <c r="J71" s="19">
        <f t="shared" si="43"/>
        <v>6543.58</v>
      </c>
      <c r="K71" s="19">
        <f>SUM(K5:K70)</f>
        <v>16376040.010000002</v>
      </c>
      <c r="L71" s="19">
        <f t="shared" si="43"/>
        <v>53117.05</v>
      </c>
      <c r="M71" s="19">
        <f t="shared" si="43"/>
        <v>21547736.260000002</v>
      </c>
      <c r="N71" s="19">
        <f t="shared" si="43"/>
        <v>1336086.6199999999</v>
      </c>
      <c r="O71" s="19">
        <f t="shared" si="43"/>
        <v>877603.56999999983</v>
      </c>
      <c r="P71" s="19">
        <f>SUM(P5:P70)</f>
        <v>-27868.579999999994</v>
      </c>
      <c r="Q71" s="19">
        <f t="shared" si="43"/>
        <v>2978077.3299999996</v>
      </c>
      <c r="R71" s="19">
        <f t="shared" si="43"/>
        <v>45574.479999999996</v>
      </c>
      <c r="S71" s="19">
        <f t="shared" si="43"/>
        <v>2064956.2</v>
      </c>
      <c r="T71" s="19">
        <f t="shared" si="43"/>
        <v>240739.42000000004</v>
      </c>
      <c r="U71" s="19">
        <f t="shared" si="43"/>
        <v>2915356.13</v>
      </c>
      <c r="V71" s="19">
        <f t="shared" si="43"/>
        <v>74224.22</v>
      </c>
      <c r="W71" s="19">
        <f t="shared" si="43"/>
        <v>62576.46</v>
      </c>
      <c r="X71" s="19">
        <f t="shared" si="43"/>
        <v>18609247.130000003</v>
      </c>
      <c r="Y71" s="19">
        <f t="shared" si="43"/>
        <v>35664911.420000002</v>
      </c>
      <c r="Z71" s="19">
        <f t="shared" si="43"/>
        <v>2437444.61</v>
      </c>
      <c r="AA71" s="19">
        <f t="shared" si="43"/>
        <v>974352.75</v>
      </c>
      <c r="AB71" s="19">
        <f t="shared" si="43"/>
        <v>269845.37</v>
      </c>
      <c r="AC71" s="19">
        <f t="shared" si="43"/>
        <v>-11892.76</v>
      </c>
      <c r="AD71" s="19">
        <f t="shared" si="43"/>
        <v>7366.6699999999992</v>
      </c>
      <c r="AE71" s="19">
        <f t="shared" si="43"/>
        <v>769568.94000000006</v>
      </c>
      <c r="AF71" s="19">
        <f t="shared" si="43"/>
        <v>16663.419999999998</v>
      </c>
      <c r="AG71" s="19">
        <f t="shared" si="43"/>
        <v>1233839.56</v>
      </c>
      <c r="AH71" s="19">
        <f t="shared" si="43"/>
        <v>1157731.8600000001</v>
      </c>
      <c r="AI71" s="19">
        <f t="shared" si="43"/>
        <v>6292316.04</v>
      </c>
      <c r="AJ71" s="19">
        <f t="shared" si="43"/>
        <v>0</v>
      </c>
      <c r="AK71" s="19">
        <f t="shared" si="43"/>
        <v>0</v>
      </c>
      <c r="AL71" s="19">
        <f t="shared" si="43"/>
        <v>0</v>
      </c>
      <c r="AM71" s="19">
        <f t="shared" si="43"/>
        <v>0</v>
      </c>
      <c r="AN71" s="19">
        <f t="shared" si="43"/>
        <v>0</v>
      </c>
      <c r="AO71" s="19">
        <f t="shared" si="43"/>
        <v>0</v>
      </c>
      <c r="AP71" s="19">
        <f t="shared" si="43"/>
        <v>0</v>
      </c>
      <c r="AQ71" s="19">
        <f t="shared" si="43"/>
        <v>0</v>
      </c>
      <c r="AR71" s="19">
        <f t="shared" si="43"/>
        <v>0</v>
      </c>
      <c r="AS71" s="19">
        <f t="shared" si="43"/>
        <v>0</v>
      </c>
      <c r="AT71" s="19">
        <f t="shared" si="43"/>
        <v>0</v>
      </c>
      <c r="AU71" s="19">
        <f t="shared" si="43"/>
        <v>0</v>
      </c>
      <c r="AV71" s="19">
        <f t="shared" si="43"/>
        <v>0</v>
      </c>
      <c r="AW71" s="19">
        <f t="shared" si="43"/>
        <v>0</v>
      </c>
      <c r="AX71" s="19">
        <f t="shared" si="43"/>
        <v>0</v>
      </c>
      <c r="AY71" s="19">
        <f t="shared" si="43"/>
        <v>0</v>
      </c>
      <c r="AZ71"/>
      <c r="BA71"/>
      <c r="BB71"/>
    </row>
    <row r="72" spans="1:54" s="10" customFormat="1" ht="13.5" thickTop="1">
      <c r="A72" s="35">
        <f t="shared" si="42"/>
        <v>68</v>
      </c>
      <c r="C72" s="193" t="s">
        <v>216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>
        <v>-174550</v>
      </c>
      <c r="Z72" s="11">
        <f>Calculations!X63</f>
        <v>0</v>
      </c>
      <c r="AA72" s="11">
        <f>Calculations!Y63</f>
        <v>-2247.9300000000003</v>
      </c>
      <c r="AB72" s="11">
        <f>Calculations!Z63</f>
        <v>0</v>
      </c>
      <c r="AC72" s="11">
        <f>Calculations!AA63</f>
        <v>0</v>
      </c>
      <c r="AD72" s="11">
        <f>Calculations!AB63</f>
        <v>-6534.51</v>
      </c>
      <c r="AE72" s="11">
        <f>Calculations!AC63</f>
        <v>-1433.04</v>
      </c>
      <c r="AF72" s="11">
        <f>Calculations!AD63</f>
        <v>0</v>
      </c>
      <c r="AG72" s="11">
        <f>Calculations!AE63</f>
        <v>0</v>
      </c>
      <c r="AH72" s="11">
        <f>Calculations!AF63</f>
        <v>0</v>
      </c>
      <c r="AI72" s="11">
        <f>Calculations!AG63</f>
        <v>0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4">
      <c r="A73" s="35">
        <f t="shared" ref="A73:A74" si="44">A72+1</f>
        <v>69</v>
      </c>
      <c r="C73" s="2"/>
      <c r="AZ73"/>
      <c r="BA73"/>
      <c r="BB73"/>
    </row>
    <row r="74" spans="1:54">
      <c r="A74" s="35">
        <f t="shared" si="44"/>
        <v>70</v>
      </c>
      <c r="C74" s="2"/>
      <c r="Y74" s="11"/>
      <c r="AZ74"/>
      <c r="BA74"/>
      <c r="BB74"/>
    </row>
    <row r="75" spans="1:54">
      <c r="A75" s="190"/>
      <c r="AZ75"/>
      <c r="BA75"/>
      <c r="BB75"/>
    </row>
    <row r="76" spans="1:54">
      <c r="A76" s="35">
        <f>A74+1</f>
        <v>71</v>
      </c>
      <c r="C76" s="2" t="s">
        <v>36</v>
      </c>
      <c r="D76" s="1">
        <f>D71</f>
        <v>-2471.4499999999998</v>
      </c>
      <c r="E76" s="1">
        <f t="shared" ref="E76" si="45">D76+E71</f>
        <v>479654.57999999996</v>
      </c>
      <c r="F76" s="1">
        <f t="shared" ref="F76" si="46">E76+F71</f>
        <v>712929.86</v>
      </c>
      <c r="G76" s="1">
        <f t="shared" ref="G76" si="47">F76+G71</f>
        <v>717612.16</v>
      </c>
      <c r="H76" s="1">
        <f t="shared" ref="H76" si="48">G76+H71</f>
        <v>1277581.27</v>
      </c>
      <c r="I76" s="1">
        <f>H76+I71</f>
        <v>12321212.839999998</v>
      </c>
      <c r="J76" s="1">
        <f t="shared" ref="J76" si="49">I76+J71</f>
        <v>12327756.419999998</v>
      </c>
      <c r="K76" s="1">
        <f t="shared" ref="K76" si="50">J76+K71</f>
        <v>28703796.43</v>
      </c>
      <c r="L76" s="1">
        <f t="shared" ref="L76" si="51">K76+L71</f>
        <v>28756913.48</v>
      </c>
      <c r="M76" s="1">
        <f t="shared" ref="M76" si="52">L76+M71</f>
        <v>50304649.740000002</v>
      </c>
      <c r="N76" s="1">
        <f t="shared" ref="N76" si="53">M76+N71</f>
        <v>51640736.359999999</v>
      </c>
      <c r="O76" s="1">
        <f>N76+O71</f>
        <v>52518339.93</v>
      </c>
      <c r="P76" s="1">
        <f t="shared" ref="P76:AA76" si="54">O76+P71</f>
        <v>52490471.350000001</v>
      </c>
      <c r="Q76" s="1">
        <f t="shared" si="54"/>
        <v>55468548.68</v>
      </c>
      <c r="R76" s="1">
        <f t="shared" si="54"/>
        <v>55514123.159999996</v>
      </c>
      <c r="S76" s="1">
        <f t="shared" si="54"/>
        <v>57579079.359999999</v>
      </c>
      <c r="T76" s="1">
        <f t="shared" si="54"/>
        <v>57819818.780000001</v>
      </c>
      <c r="U76" s="1">
        <f t="shared" si="54"/>
        <v>60735174.910000004</v>
      </c>
      <c r="V76" s="1">
        <f t="shared" si="54"/>
        <v>60809399.130000003</v>
      </c>
      <c r="W76" s="1">
        <f t="shared" si="54"/>
        <v>60871975.590000004</v>
      </c>
      <c r="X76" s="1">
        <f t="shared" si="54"/>
        <v>79481222.719999999</v>
      </c>
      <c r="Y76" s="1">
        <f>X76+Y71</f>
        <v>115146134.14</v>
      </c>
      <c r="Z76" s="1">
        <f t="shared" si="54"/>
        <v>117583578.75</v>
      </c>
      <c r="AA76" s="1">
        <f t="shared" si="54"/>
        <v>118557931.5</v>
      </c>
      <c r="AB76" s="1">
        <f t="shared" ref="AB76:AL76" si="55">AA76+AB71</f>
        <v>118827776.87</v>
      </c>
      <c r="AC76" s="1">
        <f t="shared" si="55"/>
        <v>118815884.11</v>
      </c>
      <c r="AD76" s="1">
        <f t="shared" si="55"/>
        <v>118823250.78</v>
      </c>
      <c r="AE76" s="1">
        <f t="shared" si="55"/>
        <v>119592819.72</v>
      </c>
      <c r="AF76" s="1">
        <f t="shared" si="55"/>
        <v>119609483.14</v>
      </c>
      <c r="AG76" s="1">
        <f t="shared" si="55"/>
        <v>120843322.7</v>
      </c>
      <c r="AH76" s="1">
        <f t="shared" si="55"/>
        <v>122001054.56</v>
      </c>
      <c r="AI76" s="1">
        <f t="shared" si="55"/>
        <v>128293370.60000001</v>
      </c>
      <c r="AJ76" s="1">
        <f t="shared" si="55"/>
        <v>128293370.60000001</v>
      </c>
      <c r="AK76" s="1">
        <f t="shared" si="55"/>
        <v>128293370.60000001</v>
      </c>
      <c r="AL76" s="1">
        <f t="shared" si="55"/>
        <v>128293370.60000001</v>
      </c>
      <c r="AM76" s="1">
        <f t="shared" ref="AM76" si="56">AL76+AM71</f>
        <v>128293370.60000001</v>
      </c>
      <c r="AN76" s="1">
        <f t="shared" ref="AN76" si="57">AM76+AN71</f>
        <v>128293370.60000001</v>
      </c>
      <c r="AO76" s="1">
        <f t="shared" ref="AO76" si="58">AN76+AO71</f>
        <v>128293370.60000001</v>
      </c>
      <c r="AP76" s="1">
        <f t="shared" ref="AP76" si="59">AO76+AP71</f>
        <v>128293370.60000001</v>
      </c>
      <c r="AQ76" s="1">
        <f t="shared" ref="AQ76" si="60">AP76+AQ71</f>
        <v>128293370.60000001</v>
      </c>
      <c r="AR76" s="1">
        <f t="shared" ref="AR76" si="61">AQ76+AR71</f>
        <v>128293370.60000001</v>
      </c>
      <c r="AS76" s="1">
        <f t="shared" ref="AS76" si="62">AR76+AS71</f>
        <v>128293370.60000001</v>
      </c>
      <c r="AT76" s="1">
        <f t="shared" ref="AT76" si="63">AS76+AT71</f>
        <v>128293370.60000001</v>
      </c>
      <c r="AU76" s="1">
        <f t="shared" ref="AU76" si="64">AT76+AU71</f>
        <v>128293370.60000001</v>
      </c>
      <c r="AV76" s="1">
        <f t="shared" ref="AV76" si="65">AU76+AV71</f>
        <v>128293370.60000001</v>
      </c>
      <c r="AW76" s="1">
        <f t="shared" ref="AW76" si="66">AV76+AW71</f>
        <v>128293370.60000001</v>
      </c>
      <c r="AX76" s="1">
        <f t="shared" ref="AX76" si="67">AW76+AX71</f>
        <v>128293370.60000001</v>
      </c>
      <c r="AY76" s="1">
        <f t="shared" ref="AY76" si="68">AX76+AY71</f>
        <v>128293370.60000001</v>
      </c>
      <c r="AZ76"/>
      <c r="BA76"/>
      <c r="BB76"/>
    </row>
    <row r="77" spans="1:54">
      <c r="A77" s="35">
        <f>A76+1</f>
        <v>72</v>
      </c>
      <c r="C77" s="178" t="s">
        <v>255</v>
      </c>
      <c r="D77" s="1">
        <f>D76-84000000</f>
        <v>-84002471.450000003</v>
      </c>
      <c r="E77" s="1">
        <f t="shared" ref="E77:O77" si="69">D77+E71</f>
        <v>-83520345.420000002</v>
      </c>
      <c r="F77" s="1">
        <f t="shared" si="69"/>
        <v>-83287070.140000001</v>
      </c>
      <c r="G77" s="1">
        <f t="shared" si="69"/>
        <v>-83282387.840000004</v>
      </c>
      <c r="H77" s="1">
        <f t="shared" si="69"/>
        <v>-82722418.730000004</v>
      </c>
      <c r="I77" s="1">
        <f t="shared" si="69"/>
        <v>-71678787.160000011</v>
      </c>
      <c r="J77" s="1">
        <f t="shared" si="69"/>
        <v>-71672243.580000013</v>
      </c>
      <c r="K77" s="1">
        <f t="shared" si="69"/>
        <v>-55296203.570000008</v>
      </c>
      <c r="L77" s="1">
        <f t="shared" si="69"/>
        <v>-55243086.520000011</v>
      </c>
      <c r="M77" s="1">
        <f t="shared" si="69"/>
        <v>-33695350.260000005</v>
      </c>
      <c r="N77" s="1">
        <f t="shared" si="69"/>
        <v>-32359263.640000004</v>
      </c>
      <c r="O77" s="1">
        <f t="shared" si="69"/>
        <v>-31481660.070000004</v>
      </c>
      <c r="P77" s="1">
        <f t="shared" ref="P77" si="70">O77+P71</f>
        <v>-31509528.650000002</v>
      </c>
      <c r="Q77" s="1">
        <f t="shared" ref="Q77" si="71">P77+Q71</f>
        <v>-28531451.320000004</v>
      </c>
      <c r="R77" s="1">
        <f t="shared" ref="R77" si="72">Q77+R71</f>
        <v>-28485876.840000004</v>
      </c>
      <c r="S77" s="1">
        <f t="shared" ref="S77" si="73">R77+S71</f>
        <v>-26420920.640000004</v>
      </c>
      <c r="T77" s="1">
        <f t="shared" ref="T77" si="74">S77+T71</f>
        <v>-26180181.220000003</v>
      </c>
      <c r="U77" s="1">
        <f t="shared" ref="U77" si="75">T77+U71</f>
        <v>-23264825.090000004</v>
      </c>
      <c r="V77" s="1">
        <f t="shared" ref="V77" si="76">U77+V71</f>
        <v>-23190600.870000005</v>
      </c>
      <c r="W77" s="1">
        <f t="shared" ref="W77" si="77">V77+W71</f>
        <v>-23128024.410000004</v>
      </c>
      <c r="X77" s="1">
        <f t="shared" ref="X77" si="78">W77+X71</f>
        <v>-4518777.2800000012</v>
      </c>
      <c r="Y77" s="1">
        <f>X77+Y71</f>
        <v>31146134.140000001</v>
      </c>
      <c r="Z77" s="1">
        <f t="shared" ref="Z77" si="79">Y77+Z71</f>
        <v>33583578.75</v>
      </c>
      <c r="AA77" s="1">
        <f t="shared" ref="AA77" si="80">Z77+AA71</f>
        <v>34557931.5</v>
      </c>
      <c r="AB77" s="1">
        <f t="shared" ref="AB77" si="81">AA77+AB71</f>
        <v>34827776.869999997</v>
      </c>
      <c r="AC77" s="1">
        <f t="shared" ref="AC77" si="82">AB77+AC71</f>
        <v>34815884.109999999</v>
      </c>
      <c r="AD77" s="1">
        <f t="shared" ref="AD77" si="83">AC77+AD71</f>
        <v>34823250.780000001</v>
      </c>
      <c r="AE77" s="1">
        <f t="shared" ref="AE77" si="84">AD77+AE71</f>
        <v>35592819.719999999</v>
      </c>
      <c r="AF77" s="1">
        <f t="shared" ref="AF77" si="85">AE77+AF71</f>
        <v>35609483.140000001</v>
      </c>
      <c r="AG77" s="1">
        <f t="shared" ref="AG77" si="86">AF77+AG71</f>
        <v>36843322.700000003</v>
      </c>
      <c r="AH77" s="1">
        <f t="shared" ref="AH77" si="87">AG77+AH71</f>
        <v>38001054.560000002</v>
      </c>
      <c r="AI77" s="1">
        <f t="shared" ref="AI77" si="88">AH77+AI71</f>
        <v>44293370.600000001</v>
      </c>
      <c r="AJ77" s="1">
        <f t="shared" ref="AJ77" si="89">AI77+AJ71</f>
        <v>44293370.600000001</v>
      </c>
      <c r="AK77" s="1">
        <f t="shared" ref="AK77" si="90">AJ77+AK71</f>
        <v>44293370.600000001</v>
      </c>
      <c r="AL77" s="1">
        <f t="shared" ref="AL77" si="91">AK77+AL71</f>
        <v>44293370.600000001</v>
      </c>
      <c r="AM77" s="1">
        <f t="shared" ref="AM77" si="92">AL77+AM71</f>
        <v>44293370.600000001</v>
      </c>
      <c r="AN77" s="1">
        <f t="shared" ref="AN77" si="93">AM77+AN71</f>
        <v>44293370.600000001</v>
      </c>
      <c r="AO77" s="1">
        <f t="shared" ref="AO77" si="94">AN77+AO71</f>
        <v>44293370.600000001</v>
      </c>
      <c r="AP77" s="1">
        <f t="shared" ref="AP77" si="95">AO77+AP71</f>
        <v>44293370.600000001</v>
      </c>
      <c r="AQ77" s="1">
        <f t="shared" ref="AQ77" si="96">AP77+AQ71</f>
        <v>44293370.600000001</v>
      </c>
      <c r="AR77" s="1">
        <f t="shared" ref="AR77" si="97">AQ77+AR71</f>
        <v>44293370.600000001</v>
      </c>
      <c r="AS77" s="1">
        <f t="shared" ref="AS77" si="98">AR77+AS71</f>
        <v>44293370.600000001</v>
      </c>
      <c r="AT77" s="1">
        <f t="shared" ref="AT77" si="99">AS77+AT71</f>
        <v>44293370.600000001</v>
      </c>
      <c r="AU77" s="1">
        <f t="shared" ref="AU77" si="100">AT77+AU71</f>
        <v>44293370.600000001</v>
      </c>
      <c r="AV77" s="1">
        <f t="shared" ref="AV77" si="101">AU77+AV71</f>
        <v>44293370.600000001</v>
      </c>
      <c r="AW77" s="1">
        <f t="shared" ref="AW77" si="102">AV77+AW71</f>
        <v>44293370.600000001</v>
      </c>
      <c r="AX77" s="1">
        <f t="shared" ref="AX77" si="103">AW77+AX71</f>
        <v>44293370.600000001</v>
      </c>
      <c r="AY77" s="1">
        <f t="shared" ref="AY77" si="104">AX77+AY71</f>
        <v>44293370.600000001</v>
      </c>
      <c r="AZ77"/>
      <c r="BA77"/>
      <c r="BB77"/>
    </row>
    <row r="78" spans="1:54">
      <c r="A78" s="35">
        <f t="shared" ref="A78:A88" si="105">A77+1</f>
        <v>73</v>
      </c>
      <c r="C78" s="2" t="s">
        <v>37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>
        <f>0.0214/12</f>
        <v>1.7833333333333332E-3</v>
      </c>
      <c r="Z78" s="13">
        <f t="shared" ref="Z78:AY78" si="106">0.0214/12</f>
        <v>1.7833333333333332E-3</v>
      </c>
      <c r="AA78" s="13">
        <f t="shared" si="106"/>
        <v>1.7833333333333332E-3</v>
      </c>
      <c r="AB78" s="13">
        <f t="shared" si="106"/>
        <v>1.7833333333333332E-3</v>
      </c>
      <c r="AC78" s="13">
        <f t="shared" si="106"/>
        <v>1.7833333333333332E-3</v>
      </c>
      <c r="AD78" s="13">
        <f t="shared" si="106"/>
        <v>1.7833333333333332E-3</v>
      </c>
      <c r="AE78" s="13">
        <f t="shared" si="106"/>
        <v>1.7833333333333332E-3</v>
      </c>
      <c r="AF78" s="13">
        <f t="shared" si="106"/>
        <v>1.7833333333333332E-3</v>
      </c>
      <c r="AG78" s="13">
        <f t="shared" si="106"/>
        <v>1.7833333333333332E-3</v>
      </c>
      <c r="AH78" s="13">
        <f t="shared" si="106"/>
        <v>1.7833333333333332E-3</v>
      </c>
      <c r="AI78" s="13">
        <f t="shared" si="106"/>
        <v>1.7833333333333332E-3</v>
      </c>
      <c r="AJ78" s="13">
        <f t="shared" si="106"/>
        <v>1.7833333333333332E-3</v>
      </c>
      <c r="AK78" s="13">
        <f t="shared" si="106"/>
        <v>1.7833333333333332E-3</v>
      </c>
      <c r="AL78" s="13">
        <f t="shared" si="106"/>
        <v>1.7833333333333332E-3</v>
      </c>
      <c r="AM78" s="13">
        <f t="shared" si="106"/>
        <v>1.7833333333333332E-3</v>
      </c>
      <c r="AN78" s="13">
        <f t="shared" si="106"/>
        <v>1.7833333333333332E-3</v>
      </c>
      <c r="AO78" s="13">
        <f t="shared" si="106"/>
        <v>1.7833333333333332E-3</v>
      </c>
      <c r="AP78" s="13">
        <f t="shared" si="106"/>
        <v>1.7833333333333332E-3</v>
      </c>
      <c r="AQ78" s="13">
        <f t="shared" si="106"/>
        <v>1.7833333333333332E-3</v>
      </c>
      <c r="AR78" s="13">
        <f t="shared" si="106"/>
        <v>1.7833333333333332E-3</v>
      </c>
      <c r="AS78" s="13">
        <f t="shared" si="106"/>
        <v>1.7833333333333332E-3</v>
      </c>
      <c r="AT78" s="13">
        <f t="shared" si="106"/>
        <v>1.7833333333333332E-3</v>
      </c>
      <c r="AU78" s="13">
        <f t="shared" si="106"/>
        <v>1.7833333333333332E-3</v>
      </c>
      <c r="AV78" s="13">
        <f t="shared" si="106"/>
        <v>1.7833333333333332E-3</v>
      </c>
      <c r="AW78" s="13">
        <f t="shared" si="106"/>
        <v>1.7833333333333332E-3</v>
      </c>
      <c r="AX78" s="13">
        <f t="shared" si="106"/>
        <v>1.7833333333333332E-3</v>
      </c>
      <c r="AY78" s="13">
        <f t="shared" si="106"/>
        <v>1.7833333333333332E-3</v>
      </c>
      <c r="AZ78"/>
      <c r="BA78"/>
      <c r="BB78"/>
    </row>
    <row r="79" spans="1:54">
      <c r="A79" s="35">
        <f t="shared" si="105"/>
        <v>74</v>
      </c>
      <c r="C79" s="2" t="s">
        <v>38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>
        <f>Y77*Y78</f>
        <v>55543.939216333332</v>
      </c>
      <c r="Z79" s="18">
        <f t="shared" ref="Z79:AA79" si="107">Z77*Z78</f>
        <v>59890.715437499995</v>
      </c>
      <c r="AA79" s="18">
        <f t="shared" si="107"/>
        <v>61628.311174999995</v>
      </c>
      <c r="AB79" s="18">
        <f t="shared" ref="AB79" si="108">AB77*AB78</f>
        <v>62109.535418166655</v>
      </c>
      <c r="AC79" s="18">
        <f t="shared" ref="AC79" si="109">AC77*AC78</f>
        <v>62088.326662833329</v>
      </c>
      <c r="AD79" s="18">
        <f t="shared" ref="AD79" si="110">AD77*AD78</f>
        <v>62101.463890999999</v>
      </c>
      <c r="AE79" s="18">
        <f t="shared" ref="AE79" si="111">AE77*AE78</f>
        <v>63473.861833999988</v>
      </c>
      <c r="AF79" s="18">
        <f t="shared" ref="AF79" si="112">AF77*AF78</f>
        <v>63503.57826633333</v>
      </c>
      <c r="AG79" s="18">
        <f t="shared" ref="AG79" si="113">AG77*AG78</f>
        <v>65703.925481666665</v>
      </c>
      <c r="AH79" s="18">
        <f t="shared" ref="AH79" si="114">AH77*AH78</f>
        <v>67768.547298666672</v>
      </c>
      <c r="AI79" s="18">
        <f t="shared" ref="AI79" si="115">AI77*AI78</f>
        <v>78989.844236666657</v>
      </c>
      <c r="AJ79" s="18">
        <f t="shared" ref="AJ79" si="116">AJ77*AJ78</f>
        <v>78989.844236666657</v>
      </c>
      <c r="AK79" s="18">
        <f t="shared" ref="AK79" si="117">AK77*AK78</f>
        <v>78989.844236666657</v>
      </c>
      <c r="AL79" s="18">
        <f t="shared" ref="AL79" si="118">AL77*AL78</f>
        <v>78989.844236666657</v>
      </c>
      <c r="AM79" s="18">
        <f t="shared" ref="AM79:AY79" si="119">AM77*AM78</f>
        <v>78989.844236666657</v>
      </c>
      <c r="AN79" s="18">
        <f t="shared" si="119"/>
        <v>78989.844236666657</v>
      </c>
      <c r="AO79" s="18">
        <f t="shared" si="119"/>
        <v>78989.844236666657</v>
      </c>
      <c r="AP79" s="18">
        <f t="shared" si="119"/>
        <v>78989.844236666657</v>
      </c>
      <c r="AQ79" s="18">
        <f t="shared" si="119"/>
        <v>78989.844236666657</v>
      </c>
      <c r="AR79" s="18">
        <f t="shared" si="119"/>
        <v>78989.844236666657</v>
      </c>
      <c r="AS79" s="18">
        <f>AS77*AS78</f>
        <v>78989.844236666657</v>
      </c>
      <c r="AT79" s="18">
        <f t="shared" si="119"/>
        <v>78989.844236666657</v>
      </c>
      <c r="AU79" s="18">
        <f t="shared" si="119"/>
        <v>78989.844236666657</v>
      </c>
      <c r="AV79" s="18">
        <f t="shared" si="119"/>
        <v>78989.844236666657</v>
      </c>
      <c r="AW79" s="18">
        <f t="shared" si="119"/>
        <v>78989.844236666657</v>
      </c>
      <c r="AX79" s="18">
        <f t="shared" si="119"/>
        <v>78989.844236666657</v>
      </c>
      <c r="AY79" s="18">
        <f t="shared" si="119"/>
        <v>78989.844236666657</v>
      </c>
      <c r="AZ79"/>
      <c r="BA79"/>
      <c r="BB79"/>
    </row>
    <row r="80" spans="1:54">
      <c r="A80" s="35">
        <f t="shared" si="105"/>
        <v>75</v>
      </c>
      <c r="C80" s="2" t="s">
        <v>156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f>Calculations!W83</f>
        <v>1803211.2348243333</v>
      </c>
      <c r="Z80" s="1">
        <f>Calculations!X83</f>
        <v>1628661.2348243333</v>
      </c>
      <c r="AA80" s="1">
        <f>Calculations!Y83</f>
        <v>1630909.1648243333</v>
      </c>
      <c r="AB80" s="1">
        <f>Calculations!Z83</f>
        <v>144734.90680874998</v>
      </c>
      <c r="AC80" s="1">
        <f>Calculations!AA83</f>
        <v>144734.90680874998</v>
      </c>
      <c r="AD80" s="1">
        <f>Calculations!AB83</f>
        <v>151269.41680874999</v>
      </c>
      <c r="AE80" s="1">
        <f>Calculations!AC83</f>
        <v>146167.94680874998</v>
      </c>
      <c r="AF80" s="1">
        <f>Calculations!AD83</f>
        <v>144734.90680874998</v>
      </c>
      <c r="AG80" s="1">
        <f>Calculations!AE83</f>
        <v>144734.90680874998</v>
      </c>
      <c r="AH80" s="1">
        <f>Calculations!AF83</f>
        <v>144734.90680874998</v>
      </c>
      <c r="AI80" s="1">
        <f>Calculations!AG83</f>
        <v>144734.90680874998</v>
      </c>
      <c r="AJ80" s="1">
        <f>Calculations!AH83</f>
        <v>144734.90680874998</v>
      </c>
      <c r="AK80" s="1">
        <f>Calculations!AI83</f>
        <v>144734.90680874998</v>
      </c>
      <c r="AL80" s="1">
        <f>Calculations!AJ83</f>
        <v>144734.90680874998</v>
      </c>
      <c r="AM80" s="1">
        <f>Calculations!AK83</f>
        <v>144734.90680874998</v>
      </c>
      <c r="AN80" s="1">
        <f>Calculations!AL83</f>
        <v>165159.68819066664</v>
      </c>
      <c r="AO80" s="1">
        <f>Calculations!AM83</f>
        <v>165159.68819066664</v>
      </c>
      <c r="AP80" s="1">
        <f>Calculations!AN83</f>
        <v>165159.68819066664</v>
      </c>
      <c r="AQ80" s="1">
        <f>Calculations!AO83</f>
        <v>165159.68819066664</v>
      </c>
      <c r="AR80" s="1">
        <f>Calculations!AP83</f>
        <v>165159.68819066664</v>
      </c>
      <c r="AS80" s="1">
        <f>Calculations!AQ83</f>
        <v>165159.68819066664</v>
      </c>
      <c r="AT80" s="1">
        <f>Calculations!AR83</f>
        <v>165159.68819066664</v>
      </c>
      <c r="AU80" s="1">
        <f>Calculations!AS83</f>
        <v>165159.68819066664</v>
      </c>
      <c r="AV80" s="1">
        <f>Calculations!AT83</f>
        <v>165159.68819066664</v>
      </c>
      <c r="AW80" s="1">
        <f>Calculations!AU83</f>
        <v>165159.68819066664</v>
      </c>
      <c r="AX80" s="1">
        <f>Calculations!AV83</f>
        <v>165159.68819066664</v>
      </c>
      <c r="AY80" s="1">
        <f>Calculations!AW83</f>
        <v>165159.68819066664</v>
      </c>
      <c r="AZ80"/>
      <c r="BA80"/>
      <c r="BB80"/>
    </row>
    <row r="81" spans="1:54">
      <c r="A81" s="35">
        <f t="shared" si="105"/>
        <v>76</v>
      </c>
      <c r="C81" s="2" t="s">
        <v>42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>
        <f>Y79-Y80</f>
        <v>-1747667.2956079999</v>
      </c>
      <c r="Z81" s="1">
        <f t="shared" ref="Z81:AA81" si="120">Z79-Z80</f>
        <v>-1568770.5193868333</v>
      </c>
      <c r="AA81" s="1">
        <f t="shared" si="120"/>
        <v>-1569280.8536493334</v>
      </c>
      <c r="AB81" s="1">
        <f t="shared" ref="AB81:AL81" si="121">AB79-AB80</f>
        <v>-82625.371390583314</v>
      </c>
      <c r="AC81" s="1">
        <f t="shared" si="121"/>
        <v>-82646.58014591664</v>
      </c>
      <c r="AD81" s="1">
        <f t="shared" si="121"/>
        <v>-89167.952917749994</v>
      </c>
      <c r="AE81" s="1">
        <f t="shared" si="121"/>
        <v>-82694.084974750003</v>
      </c>
      <c r="AF81" s="1">
        <f t="shared" si="121"/>
        <v>-81231.328542416653</v>
      </c>
      <c r="AG81" s="1">
        <f t="shared" si="121"/>
        <v>-79030.981327083311</v>
      </c>
      <c r="AH81" s="1">
        <f t="shared" si="121"/>
        <v>-76966.359510083304</v>
      </c>
      <c r="AI81" s="1">
        <f>AI79-AI80</f>
        <v>-65745.06257208332</v>
      </c>
      <c r="AJ81" s="1">
        <f t="shared" si="121"/>
        <v>-65745.06257208332</v>
      </c>
      <c r="AK81" s="1">
        <f t="shared" si="121"/>
        <v>-65745.06257208332</v>
      </c>
      <c r="AL81" s="1">
        <f t="shared" si="121"/>
        <v>-65745.06257208332</v>
      </c>
      <c r="AM81" s="1">
        <f t="shared" ref="AM81:AY81" si="122">AM79-AM80</f>
        <v>-65745.06257208332</v>
      </c>
      <c r="AN81" s="1">
        <f t="shared" si="122"/>
        <v>-86169.843953999982</v>
      </c>
      <c r="AO81" s="1">
        <f t="shared" si="122"/>
        <v>-86169.843953999982</v>
      </c>
      <c r="AP81" s="1">
        <f t="shared" si="122"/>
        <v>-86169.843953999982</v>
      </c>
      <c r="AQ81" s="1">
        <f t="shared" si="122"/>
        <v>-86169.843953999982</v>
      </c>
      <c r="AR81" s="1">
        <f t="shared" si="122"/>
        <v>-86169.843953999982</v>
      </c>
      <c r="AS81" s="1">
        <f t="shared" si="122"/>
        <v>-86169.843953999982</v>
      </c>
      <c r="AT81" s="1">
        <f t="shared" si="122"/>
        <v>-86169.843953999982</v>
      </c>
      <c r="AU81" s="1">
        <f t="shared" si="122"/>
        <v>-86169.843953999982</v>
      </c>
      <c r="AV81" s="1">
        <f t="shared" si="122"/>
        <v>-86169.843953999982</v>
      </c>
      <c r="AW81" s="1">
        <f t="shared" si="122"/>
        <v>-86169.843953999982</v>
      </c>
      <c r="AX81" s="1">
        <f t="shared" si="122"/>
        <v>-86169.843953999982</v>
      </c>
      <c r="AY81" s="1">
        <f t="shared" si="122"/>
        <v>-86169.843953999982</v>
      </c>
      <c r="AZ81"/>
      <c r="BA81"/>
      <c r="BB81"/>
    </row>
    <row r="82" spans="1:54">
      <c r="A82" s="35">
        <f t="shared" si="105"/>
        <v>77</v>
      </c>
      <c r="C82" s="2" t="s">
        <v>157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>
        <f t="shared" ref="Y82:AA82" si="123">Y81*0.38</f>
        <v>-664113.57233103993</v>
      </c>
      <c r="Z82" s="1">
        <f t="shared" si="123"/>
        <v>-596132.79736699664</v>
      </c>
      <c r="AA82" s="1">
        <f t="shared" si="123"/>
        <v>-596326.72438674665</v>
      </c>
      <c r="AB82" s="1">
        <f t="shared" ref="AB82:AL82" si="124">AB81*0.38</f>
        <v>-31397.641128421659</v>
      </c>
      <c r="AC82" s="1">
        <f t="shared" si="124"/>
        <v>-31405.700455448325</v>
      </c>
      <c r="AD82" s="1">
        <f t="shared" si="124"/>
        <v>-33883.822108745</v>
      </c>
      <c r="AE82" s="1">
        <f t="shared" si="124"/>
        <v>-31423.752290405002</v>
      </c>
      <c r="AF82" s="1">
        <f t="shared" si="124"/>
        <v>-30867.90484611833</v>
      </c>
      <c r="AG82" s="1">
        <f t="shared" si="124"/>
        <v>-30031.772904291658</v>
      </c>
      <c r="AH82" s="1">
        <f t="shared" si="124"/>
        <v>-29247.216613831657</v>
      </c>
      <c r="AI82" s="1">
        <f t="shared" si="124"/>
        <v>-24983.123777391662</v>
      </c>
      <c r="AJ82" s="1">
        <f t="shared" si="124"/>
        <v>-24983.123777391662</v>
      </c>
      <c r="AK82" s="1">
        <f t="shared" si="124"/>
        <v>-24983.123777391662</v>
      </c>
      <c r="AL82" s="1">
        <f t="shared" si="124"/>
        <v>-24983.123777391662</v>
      </c>
      <c r="AM82" s="1">
        <f t="shared" ref="AM82:AY82" si="125">AM81*0.38</f>
        <v>-24983.123777391662</v>
      </c>
      <c r="AN82" s="1">
        <f t="shared" si="125"/>
        <v>-32744.540702519993</v>
      </c>
      <c r="AO82" s="1">
        <f t="shared" si="125"/>
        <v>-32744.540702519993</v>
      </c>
      <c r="AP82" s="1">
        <f t="shared" si="125"/>
        <v>-32744.540702519993</v>
      </c>
      <c r="AQ82" s="1">
        <f t="shared" si="125"/>
        <v>-32744.540702519993</v>
      </c>
      <c r="AR82" s="1">
        <f t="shared" si="125"/>
        <v>-32744.540702519993</v>
      </c>
      <c r="AS82" s="1">
        <f t="shared" si="125"/>
        <v>-32744.540702519993</v>
      </c>
      <c r="AT82" s="1">
        <f t="shared" si="125"/>
        <v>-32744.540702519993</v>
      </c>
      <c r="AU82" s="1">
        <f t="shared" si="125"/>
        <v>-32744.540702519993</v>
      </c>
      <c r="AV82" s="1">
        <f t="shared" si="125"/>
        <v>-32744.540702519993</v>
      </c>
      <c r="AW82" s="1">
        <f t="shared" si="125"/>
        <v>-32744.540702519993</v>
      </c>
      <c r="AX82" s="1">
        <f t="shared" si="125"/>
        <v>-32744.540702519993</v>
      </c>
      <c r="AY82" s="1">
        <f t="shared" si="125"/>
        <v>-32744.540702519993</v>
      </c>
      <c r="AZ82"/>
      <c r="BA82"/>
      <c r="BB82"/>
    </row>
    <row r="83" spans="1:54">
      <c r="A83" s="35">
        <f t="shared" si="105"/>
        <v>78</v>
      </c>
      <c r="C83" s="2" t="s">
        <v>43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>
        <f>X83+Y82</f>
        <v>-664113.57233103993</v>
      </c>
      <c r="Z83" s="1">
        <f t="shared" ref="Z83" si="126">Y83+Z82</f>
        <v>-1260246.3696980365</v>
      </c>
      <c r="AA83" s="1">
        <f t="shared" ref="AA83" si="127">Z83+AA82</f>
        <v>-1856573.094084783</v>
      </c>
      <c r="AB83" s="1">
        <f t="shared" ref="AB83" si="128">AA83+AB82</f>
        <v>-1887970.7352132048</v>
      </c>
      <c r="AC83" s="1">
        <f t="shared" ref="AC83" si="129">AB83+AC82</f>
        <v>-1919376.4356686531</v>
      </c>
      <c r="AD83" s="1">
        <f t="shared" ref="AD83" si="130">AC83+AD82</f>
        <v>-1953260.2577773982</v>
      </c>
      <c r="AE83" s="1">
        <f t="shared" ref="AE83" si="131">AD83+AE82</f>
        <v>-1984684.0100678033</v>
      </c>
      <c r="AF83" s="1">
        <f t="shared" ref="AF83" si="132">AE83+AF82</f>
        <v>-2015551.9149139216</v>
      </c>
      <c r="AG83" s="1">
        <f t="shared" ref="AG83" si="133">AF83+AG82</f>
        <v>-2045583.6878182134</v>
      </c>
      <c r="AH83" s="1">
        <f t="shared" ref="AH83" si="134">AG83+AH82</f>
        <v>-2074830.9044320451</v>
      </c>
      <c r="AI83" s="1">
        <f>AH83+AI82</f>
        <v>-2099814.0282094367</v>
      </c>
      <c r="AJ83" s="1">
        <f t="shared" ref="AJ83" si="135">AI83+AJ82</f>
        <v>-2124797.1519868285</v>
      </c>
      <c r="AK83" s="1">
        <f t="shared" ref="AK83" si="136">AJ83+AK82</f>
        <v>-2149780.2757642204</v>
      </c>
      <c r="AL83" s="1">
        <f t="shared" ref="AL83" si="137">AK83+AL82</f>
        <v>-2174763.3995416122</v>
      </c>
      <c r="AM83" s="1">
        <f t="shared" ref="AM83" si="138">AL83+AM82</f>
        <v>-2199746.5233190041</v>
      </c>
      <c r="AN83" s="1">
        <f t="shared" ref="AN83" si="139">AM83+AN82</f>
        <v>-2232491.064021524</v>
      </c>
      <c r="AO83" s="1">
        <f t="shared" ref="AO83" si="140">AN83+AO82</f>
        <v>-2265235.604724044</v>
      </c>
      <c r="AP83" s="1">
        <f t="shared" ref="AP83" si="141">AO83+AP82</f>
        <v>-2297980.1454265639</v>
      </c>
      <c r="AQ83" s="1">
        <f t="shared" ref="AQ83" si="142">AP83+AQ82</f>
        <v>-2330724.6861290839</v>
      </c>
      <c r="AR83" s="1">
        <f t="shared" ref="AR83" si="143">AQ83+AR82</f>
        <v>-2363469.2268316038</v>
      </c>
      <c r="AS83" s="1">
        <f t="shared" ref="AS83" si="144">AR83+AS82</f>
        <v>-2396213.7675341237</v>
      </c>
      <c r="AT83" s="1">
        <f t="shared" ref="AT83" si="145">AS83+AT82</f>
        <v>-2428958.3082366437</v>
      </c>
      <c r="AU83" s="1">
        <f t="shared" ref="AU83" si="146">AT83+AU82</f>
        <v>-2461702.8489391636</v>
      </c>
      <c r="AV83" s="1">
        <f t="shared" ref="AV83" si="147">AU83+AV82</f>
        <v>-2494447.3896416835</v>
      </c>
      <c r="AW83" s="1">
        <f t="shared" ref="AW83" si="148">AV83+AW82</f>
        <v>-2527191.9303442035</v>
      </c>
      <c r="AX83" s="1">
        <f t="shared" ref="AX83" si="149">AW83+AX82</f>
        <v>-2559936.4710467234</v>
      </c>
      <c r="AY83" s="1">
        <f t="shared" ref="AY83" si="150">AX83+AY82</f>
        <v>-2592681.0117492434</v>
      </c>
      <c r="AZ83"/>
      <c r="BA83"/>
      <c r="BB83"/>
    </row>
    <row r="84" spans="1:54">
      <c r="A84" s="35">
        <f t="shared" si="105"/>
        <v>79</v>
      </c>
      <c r="C84" s="2" t="s">
        <v>39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>
        <f>(X84-Y79-SUM(Y59:Y70)-Y72)</f>
        <v>444067.9607836667</v>
      </c>
      <c r="Z84" s="1">
        <f t="shared" ref="Z84:AH84" si="151">(Y84-Z79-SUM(Z59:Z70)-Z72)</f>
        <v>384177.24534616672</v>
      </c>
      <c r="AA84" s="1">
        <f t="shared" si="151"/>
        <v>324796.86417116673</v>
      </c>
      <c r="AB84" s="1">
        <f t="shared" si="151"/>
        <v>262687.32875300007</v>
      </c>
      <c r="AC84" s="1">
        <f t="shared" si="151"/>
        <v>200599.00209016673</v>
      </c>
      <c r="AD84" s="1">
        <f t="shared" si="151"/>
        <v>145032.04819916675</v>
      </c>
      <c r="AE84" s="1">
        <f>(AD84-AE79-SUM(AE59:AE70)-AE72)</f>
        <v>82991.22636516676</v>
      </c>
      <c r="AF84" s="1">
        <f t="shared" si="151"/>
        <v>19487.64809883343</v>
      </c>
      <c r="AG84" s="1">
        <f t="shared" si="151"/>
        <v>-46216.277382833236</v>
      </c>
      <c r="AH84" s="1">
        <f t="shared" si="151"/>
        <v>-113984.82468149991</v>
      </c>
      <c r="AI84" s="1">
        <f>(AH84-AI79-SUM(AI59:AI70)-AI72)</f>
        <v>95003.041081833449</v>
      </c>
      <c r="AJ84" s="1">
        <f t="shared" ref="AJ84:AY84" si="152">(AI84-AJ79-SUM(AJ59:AJ70)-AJ72)</f>
        <v>16013.196845166793</v>
      </c>
      <c r="AK84" s="1">
        <f t="shared" si="152"/>
        <v>-62976.647391499864</v>
      </c>
      <c r="AL84" s="1">
        <f t="shared" si="152"/>
        <v>-141966.49162816652</v>
      </c>
      <c r="AM84" s="1">
        <f t="shared" si="152"/>
        <v>-220956.33586483318</v>
      </c>
      <c r="AN84" s="1">
        <f t="shared" si="152"/>
        <v>-299946.18010149983</v>
      </c>
      <c r="AO84" s="1">
        <f t="shared" si="152"/>
        <v>-378936.02433816646</v>
      </c>
      <c r="AP84" s="1">
        <f t="shared" si="152"/>
        <v>-457925.86857483315</v>
      </c>
      <c r="AQ84" s="1">
        <f t="shared" si="152"/>
        <v>-536915.71281149983</v>
      </c>
      <c r="AR84" s="1">
        <f t="shared" si="152"/>
        <v>-615905.55704816652</v>
      </c>
      <c r="AS84" s="1">
        <f t="shared" si="152"/>
        <v>-694895.40128483321</v>
      </c>
      <c r="AT84" s="1">
        <f t="shared" si="152"/>
        <v>-773885.24552149989</v>
      </c>
      <c r="AU84" s="1">
        <f t="shared" si="152"/>
        <v>-852875.08975816658</v>
      </c>
      <c r="AV84" s="1">
        <f t="shared" si="152"/>
        <v>-931864.93399483326</v>
      </c>
      <c r="AW84" s="1">
        <f t="shared" si="152"/>
        <v>-1010854.7782314999</v>
      </c>
      <c r="AX84" s="1">
        <f t="shared" si="152"/>
        <v>-1089844.6224681665</v>
      </c>
      <c r="AY84" s="1">
        <f t="shared" si="152"/>
        <v>-1168834.4667048331</v>
      </c>
      <c r="AZ84"/>
      <c r="BA84"/>
      <c r="BB84"/>
    </row>
    <row r="85" spans="1:54">
      <c r="A85" s="35">
        <f t="shared" si="105"/>
        <v>80</v>
      </c>
      <c r="C85" s="178" t="s">
        <v>192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"/>
      <c r="Z85" s="1">
        <f t="shared" ref="Z85:Z86" si="153">((Y83/2)+SUM(Z83:AJ83)+(AK83/2))/12</f>
        <v>-1885802.959493163</v>
      </c>
      <c r="AA85" s="1">
        <f t="shared" ref="AA85" si="154">((Z83/2)+SUM(AA83:AK83)+(AL83/2))/12</f>
        <v>-1985810.6150463612</v>
      </c>
      <c r="AB85" s="1">
        <f t="shared" ref="AB85:AB86" si="155">((AA83/2)+SUM(AB83:AL83)+(AM83/2))/12</f>
        <v>-2038214.3841746028</v>
      </c>
      <c r="AC85" s="1">
        <f t="shared" ref="AC85:AC86" si="156">((AB83/2)+SUM(AC83:AM83)+(AN83/2))/12</f>
        <v>-2066868.2907597087</v>
      </c>
      <c r="AD85" s="1">
        <f t="shared" ref="AD85:AD86" si="157">((AC83/2)+SUM(AD83:AN83)+(AO83/2))/12</f>
        <v>-2095634.1031706964</v>
      </c>
      <c r="AE85" s="1">
        <f t="shared" ref="AE85:AE86" si="158">((AD83/2)+SUM(AE83:AO83)+(AP83/2))/12</f>
        <v>-2124408.2305333861</v>
      </c>
      <c r="AF85" s="1">
        <f t="shared" ref="AF85:AF86" si="159">((AE83/2)+SUM(AF83:AP83)+(AQ83/2))/12</f>
        <v>-2153189.9206879889</v>
      </c>
      <c r="AG85" s="1">
        <f t="shared" ref="AG85:AG86" si="160">((AF83/2)+SUM(AG83:AQ83)+(AR83/2))/12</f>
        <v>-2182104.836853778</v>
      </c>
      <c r="AH85" s="1">
        <f t="shared" ref="AH85:AH86" si="161">((AG83/2)+SUM(AH83:AR83)+(AS83/2))/12</f>
        <v>-2211210.9781718445</v>
      </c>
      <c r="AI85" s="1">
        <f t="shared" ref="AI85:AI86" si="162">((AH83/2)+SUM(AI83:AS83)+(AT83/2))/12</f>
        <v>-2240575.8733185325</v>
      </c>
      <c r="AJ85" s="1">
        <f t="shared" ref="AJ85:AK86" si="163">((AI83/2)+SUM(AJ83:AT83)+(AU83/2))/12</f>
        <v>-2270409.8826741297</v>
      </c>
      <c r="AK85" s="1">
        <f t="shared" si="163"/>
        <v>-2300890.6767734867</v>
      </c>
      <c r="AL85" s="11"/>
      <c r="AM85" s="11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5" customFormat="1">
      <c r="A86" s="190">
        <f>A85+1</f>
        <v>81</v>
      </c>
      <c r="C86" s="187" t="s">
        <v>40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"/>
      <c r="Z86" s="1">
        <f t="shared" si="153"/>
        <v>130094.34629853482</v>
      </c>
      <c r="AA86" s="1">
        <f>((Z84/2)+SUM(AA84:AK84)+(AL84/2))/12</f>
        <v>87044.831917305666</v>
      </c>
      <c r="AB86" s="1">
        <f t="shared" si="155"/>
        <v>42382.459541875105</v>
      </c>
      <c r="AC86" s="1">
        <f t="shared" si="156"/>
        <v>-3800.319995229062</v>
      </c>
      <c r="AD86" s="1">
        <f t="shared" si="157"/>
        <v>-51390.675632013772</v>
      </c>
      <c r="AE86" s="1">
        <f t="shared" si="158"/>
        <v>-100661.21493211099</v>
      </c>
      <c r="AF86" s="1">
        <f t="shared" si="159"/>
        <v>-151613.91726338875</v>
      </c>
      <c r="AG86" s="1">
        <f t="shared" si="160"/>
        <v>-203918.08994354148</v>
      </c>
      <c r="AH86" s="1">
        <f t="shared" si="161"/>
        <v>-257421.10365391654</v>
      </c>
      <c r="AI86" s="1">
        <f t="shared" si="162"/>
        <v>-311945.25135149987</v>
      </c>
      <c r="AJ86" s="1">
        <f t="shared" si="163"/>
        <v>-378936.02433816646</v>
      </c>
      <c r="AK86" s="1">
        <f t="shared" si="163"/>
        <v>-457925.86857483321</v>
      </c>
      <c r="AL86" s="179"/>
      <c r="AM86" s="179"/>
    </row>
    <row r="87" spans="1:54">
      <c r="A87" s="35">
        <f t="shared" si="105"/>
        <v>82</v>
      </c>
      <c r="C87" s="2" t="s">
        <v>41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"/>
      <c r="Z87" s="1">
        <f t="shared" ref="Z87:AA87" si="164">((Y76/2)+SUM(Z76:AJ76)+(AK76/2))/12</f>
        <v>121080132.97499998</v>
      </c>
      <c r="AA87" s="1">
        <f t="shared" si="164"/>
        <v>122074175.82124998</v>
      </c>
      <c r="AB87" s="1">
        <f t="shared" ref="AB87" si="165">((AA76/2)+SUM(AB76:AL76)+(AM76/2))/12</f>
        <v>122926060.44416666</v>
      </c>
      <c r="AC87" s="1">
        <f t="shared" ref="AC87" si="166">((AB76/2)+SUM(AC76:AM76)+(AN76/2))/12</f>
        <v>123726103.47874998</v>
      </c>
      <c r="AD87" s="1">
        <f t="shared" ref="AD87" si="167">((AC76/2)+SUM(AD76:AN76)+(AO76/2))/12</f>
        <v>124515398.48791665</v>
      </c>
      <c r="AE87" s="1">
        <f t="shared" ref="AE87" si="168">((AD76/2)+SUM(AE76:AO76)+(AP76/2))/12</f>
        <v>125304882.08416666</v>
      </c>
      <c r="AF87" s="1">
        <f t="shared" ref="AF87" si="169">((AE76/2)+SUM(AF76:AP76)+(AQ76/2))/12</f>
        <v>126061993.3633333</v>
      </c>
      <c r="AG87" s="1">
        <f t="shared" ref="AG87" si="170">((AF76/2)+SUM(AG76:AQ76)+(AR76/2))/12</f>
        <v>126786344.96083331</v>
      </c>
      <c r="AH87" s="1">
        <f t="shared" ref="AH87" si="171">((AG76/2)+SUM(AH76:AR76)+(AS76/2))/12</f>
        <v>127458592.26749998</v>
      </c>
      <c r="AI87" s="1">
        <f t="shared" ref="AI87" si="172">((AH76/2)+SUM(AI76:AS76)+(AT76/2))/12</f>
        <v>128031190.76499999</v>
      </c>
      <c r="AJ87" s="1">
        <f t="shared" ref="AJ87:AK87" si="173">((AI76/2)+SUM(AJ76:AT76)+(AU76/2))/12</f>
        <v>128293370.59999998</v>
      </c>
      <c r="AK87" s="1">
        <f t="shared" si="173"/>
        <v>128293370.59999998</v>
      </c>
      <c r="AL87" s="11"/>
      <c r="AM87" s="11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>
      <c r="A88" s="35">
        <f t="shared" si="105"/>
        <v>83</v>
      </c>
      <c r="C88" s="178" t="s">
        <v>452</v>
      </c>
      <c r="D88" s="11"/>
      <c r="Y88" s="11"/>
      <c r="Z88" s="11">
        <f>Z87-84000000</f>
        <v>37080132.974999979</v>
      </c>
      <c r="AA88" s="11">
        <f>AA87-84000000</f>
        <v>38074175.821249977</v>
      </c>
      <c r="AB88" s="11">
        <f t="shared" ref="AB88:AK88" si="174">AB87-84000000</f>
        <v>38926060.44416666</v>
      </c>
      <c r="AC88" s="11">
        <f t="shared" si="174"/>
        <v>39726103.478749976</v>
      </c>
      <c r="AD88" s="11">
        <f t="shared" si="174"/>
        <v>40515398.487916648</v>
      </c>
      <c r="AE88" s="11">
        <f t="shared" si="174"/>
        <v>41304882.084166661</v>
      </c>
      <c r="AF88" s="11">
        <f t="shared" si="174"/>
        <v>42061993.3633333</v>
      </c>
      <c r="AG88" s="11">
        <f t="shared" si="174"/>
        <v>42786344.960833311</v>
      </c>
      <c r="AH88" s="11">
        <f t="shared" si="174"/>
        <v>43458592.267499983</v>
      </c>
      <c r="AI88" s="11">
        <f t="shared" si="174"/>
        <v>44031190.764999986</v>
      </c>
      <c r="AJ88" s="11">
        <f t="shared" si="174"/>
        <v>44293370.599999979</v>
      </c>
      <c r="AK88" s="11">
        <f t="shared" si="174"/>
        <v>44293370.599999979</v>
      </c>
    </row>
    <row r="90" spans="1:54" ht="102" customHeight="1">
      <c r="B90" s="352" t="s">
        <v>175</v>
      </c>
      <c r="C90" s="352"/>
    </row>
    <row r="91" spans="1:54">
      <c r="B91" s="352"/>
      <c r="C91" s="352"/>
    </row>
  </sheetData>
  <sortState ref="B5:AS38">
    <sortCondition ref="B5:B38"/>
  </sortState>
  <mergeCells count="2">
    <mergeCell ref="A1:Q1"/>
    <mergeCell ref="B90:C91"/>
  </mergeCells>
  <pageMargins left="0.25" right="0.25" top="0.35" bottom="0.21" header="0.17" footer="0.17"/>
  <pageSetup scale="44" fitToWidth="0" orientation="landscape" r:id="rId1"/>
  <colBreaks count="2" manualBreakCount="2">
    <brk id="20" max="94" man="1"/>
    <brk id="39" max="9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6"/>
  <sheetViews>
    <sheetView tabSelected="1" topLeftCell="A7" workbookViewId="0">
      <selection activeCell="H24" sqref="H24"/>
    </sheetView>
  </sheetViews>
  <sheetFormatPr defaultRowHeight="12.75"/>
  <cols>
    <col min="1" max="1" width="9.85546875" style="35" customWidth="1"/>
    <col min="2" max="2" width="54" bestFit="1" customWidth="1"/>
    <col min="3" max="3" width="2" customWidth="1"/>
    <col min="4" max="4" width="19.42578125" customWidth="1"/>
    <col min="5" max="5" width="2.42578125" customWidth="1"/>
    <col min="6" max="6" width="1.7109375" customWidth="1"/>
    <col min="7" max="7" width="16.42578125" customWidth="1"/>
    <col min="8" max="8" width="13.5703125" bestFit="1" customWidth="1"/>
    <col min="9" max="9" width="12.42578125" bestFit="1" customWidth="1"/>
  </cols>
  <sheetData>
    <row r="1" spans="1:9">
      <c r="A1" s="353" t="s">
        <v>44</v>
      </c>
      <c r="B1" s="353"/>
      <c r="C1" s="353"/>
      <c r="D1" s="353"/>
      <c r="E1" s="353"/>
      <c r="F1" s="177"/>
      <c r="G1" s="177"/>
    </row>
    <row r="2" spans="1:9">
      <c r="A2" s="353"/>
      <c r="B2" s="353"/>
      <c r="C2" s="353"/>
      <c r="D2" s="353"/>
      <c r="E2" s="353"/>
      <c r="F2" s="177"/>
      <c r="G2" s="177"/>
    </row>
    <row r="3" spans="1:9">
      <c r="A3" s="12"/>
      <c r="B3" s="20"/>
      <c r="C3" s="219"/>
      <c r="D3" s="223" t="s">
        <v>63</v>
      </c>
      <c r="E3" s="20"/>
      <c r="F3" s="20"/>
      <c r="G3" s="20"/>
    </row>
    <row r="4" spans="1:9">
      <c r="A4" s="12"/>
      <c r="B4" s="222"/>
      <c r="C4" s="222"/>
      <c r="D4" s="223"/>
      <c r="E4" s="222"/>
      <c r="F4" s="222"/>
      <c r="G4" s="222"/>
    </row>
    <row r="5" spans="1:9">
      <c r="A5" s="34"/>
      <c r="B5" s="22"/>
      <c r="C5" s="22"/>
      <c r="D5" s="22" t="s">
        <v>307</v>
      </c>
    </row>
    <row r="6" spans="1:9">
      <c r="A6" s="34"/>
      <c r="B6" s="23"/>
      <c r="C6" s="23"/>
      <c r="D6" s="24" t="s">
        <v>46</v>
      </c>
    </row>
    <row r="7" spans="1:9">
      <c r="A7" s="34">
        <v>1</v>
      </c>
      <c r="B7" s="25" t="s">
        <v>47</v>
      </c>
      <c r="C7" s="25"/>
      <c r="D7" s="26">
        <f ca="1">LOOKUP(D45,'Exhibit 1.1'!D3:BW3,'Exhibit 1.1'!D76:DOY76)</f>
        <v>128293370.60000001</v>
      </c>
      <c r="E7" s="21"/>
    </row>
    <row r="8" spans="1:9">
      <c r="A8" s="34">
        <f t="shared" ref="A8:A23" si="0">A7+1</f>
        <v>2</v>
      </c>
      <c r="B8" s="25" t="s">
        <v>49</v>
      </c>
      <c r="C8" s="25"/>
      <c r="D8" s="27">
        <v>-84000000</v>
      </c>
      <c r="E8" s="21" t="s">
        <v>48</v>
      </c>
    </row>
    <row r="9" spans="1:9">
      <c r="A9" s="34">
        <f t="shared" si="0"/>
        <v>3</v>
      </c>
      <c r="B9" s="25" t="s">
        <v>51</v>
      </c>
      <c r="C9" s="25"/>
      <c r="D9" s="28">
        <f ca="1">SUM(D7:D8)</f>
        <v>44293370.600000009</v>
      </c>
      <c r="E9" s="21" t="s">
        <v>50</v>
      </c>
      <c r="G9" s="7"/>
      <c r="H9" s="7"/>
      <c r="I9" s="7"/>
    </row>
    <row r="10" spans="1:9">
      <c r="A10" s="34">
        <f t="shared" si="0"/>
        <v>4</v>
      </c>
      <c r="B10" s="25" t="s">
        <v>52</v>
      </c>
      <c r="C10" s="25"/>
      <c r="D10" s="188">
        <f>LOOKUP(D46,'Exhibit 1.1'!D3:BW3,'Exhibit 1.1'!D86:BW86)</f>
        <v>-457925.86857483321</v>
      </c>
      <c r="E10" s="21"/>
    </row>
    <row r="11" spans="1:9">
      <c r="A11" s="34">
        <f t="shared" si="0"/>
        <v>5</v>
      </c>
      <c r="B11" s="25" t="s">
        <v>54</v>
      </c>
      <c r="C11" s="25"/>
      <c r="D11" s="189">
        <f>LOOKUP(D46,'Exhibit 1.1'!D3:BW3,'Exhibit 1.1'!D85:BW85)</f>
        <v>-2300890.6767734867</v>
      </c>
      <c r="E11" s="21" t="s">
        <v>53</v>
      </c>
    </row>
    <row r="12" spans="1:9">
      <c r="A12" s="34">
        <f t="shared" si="0"/>
        <v>6</v>
      </c>
      <c r="B12" s="25" t="s">
        <v>56</v>
      </c>
      <c r="C12" s="25"/>
      <c r="D12" s="28">
        <f ca="1">SUM(D9:D11)</f>
        <v>41534554.054651685</v>
      </c>
      <c r="E12" s="21"/>
      <c r="H12" s="7"/>
    </row>
    <row r="13" spans="1:9">
      <c r="A13" s="34">
        <f t="shared" si="0"/>
        <v>7</v>
      </c>
      <c r="B13" s="25" t="s">
        <v>57</v>
      </c>
      <c r="C13" s="25"/>
      <c r="D13" s="29">
        <v>0.1079</v>
      </c>
      <c r="E13" s="21" t="s">
        <v>55</v>
      </c>
    </row>
    <row r="14" spans="1:9">
      <c r="A14" s="34">
        <f t="shared" si="0"/>
        <v>8</v>
      </c>
      <c r="B14" s="25" t="s">
        <v>58</v>
      </c>
      <c r="C14" s="25"/>
      <c r="D14" s="26">
        <f ca="1">D12*D13</f>
        <v>4481578.3824969167</v>
      </c>
      <c r="E14" s="21"/>
    </row>
    <row r="15" spans="1:9">
      <c r="A15" s="34">
        <f t="shared" si="0"/>
        <v>9</v>
      </c>
      <c r="B15" s="25" t="s">
        <v>59</v>
      </c>
      <c r="C15" s="25"/>
      <c r="D15" s="26">
        <f ca="1">D9*0.0214</f>
        <v>947878.13084000011</v>
      </c>
      <c r="E15" s="21" t="s">
        <v>176</v>
      </c>
      <c r="G15" s="7"/>
    </row>
    <row r="16" spans="1:9">
      <c r="A16" s="34">
        <f t="shared" si="0"/>
        <v>10</v>
      </c>
      <c r="B16" s="25" t="s">
        <v>60</v>
      </c>
      <c r="C16" s="25"/>
      <c r="D16" s="28">
        <f ca="1">D12*0.012</f>
        <v>498414.64865582023</v>
      </c>
      <c r="E16" s="21"/>
    </row>
    <row r="17" spans="1:8">
      <c r="A17" s="34">
        <f t="shared" si="0"/>
        <v>11</v>
      </c>
      <c r="B17" s="181" t="s">
        <v>181</v>
      </c>
      <c r="C17" s="181"/>
      <c r="D17" s="220">
        <f ca="1">SUM(D14:D16)</f>
        <v>5927871.1619927371</v>
      </c>
    </row>
    <row r="18" spans="1:8">
      <c r="A18" s="34">
        <f t="shared" si="0"/>
        <v>12</v>
      </c>
      <c r="B18" s="181" t="s">
        <v>305</v>
      </c>
      <c r="C18" s="181"/>
      <c r="D18" s="220">
        <v>-57876.72</v>
      </c>
      <c r="E18" s="178" t="s">
        <v>204</v>
      </c>
      <c r="G18" s="211"/>
      <c r="H18" s="211"/>
    </row>
    <row r="19" spans="1:8">
      <c r="A19" s="34">
        <f t="shared" si="0"/>
        <v>13</v>
      </c>
      <c r="B19" s="181" t="s">
        <v>308</v>
      </c>
      <c r="C19" s="181"/>
      <c r="D19" s="220">
        <v>-497637.86</v>
      </c>
      <c r="E19" s="178" t="s">
        <v>304</v>
      </c>
      <c r="G19" s="211"/>
      <c r="H19" s="211"/>
    </row>
    <row r="20" spans="1:8">
      <c r="A20" s="34">
        <f t="shared" si="0"/>
        <v>14</v>
      </c>
      <c r="B20" s="181" t="s">
        <v>439</v>
      </c>
      <c r="C20" s="181"/>
      <c r="D20" s="220">
        <v>-115516.35</v>
      </c>
      <c r="E20" s="178" t="s">
        <v>438</v>
      </c>
      <c r="G20" s="211"/>
      <c r="H20" s="211"/>
    </row>
    <row r="21" spans="1:8">
      <c r="A21" s="34">
        <f>A20+1</f>
        <v>15</v>
      </c>
      <c r="B21" s="181" t="s">
        <v>440</v>
      </c>
      <c r="C21" s="181"/>
      <c r="D21" s="221">
        <f ca="1">SUM(D17:D20)</f>
        <v>5256840.2319927374</v>
      </c>
      <c r="E21" s="178"/>
      <c r="G21" s="211"/>
      <c r="H21" s="211"/>
    </row>
    <row r="22" spans="1:8">
      <c r="A22" s="34">
        <f t="shared" si="0"/>
        <v>16</v>
      </c>
      <c r="B22" s="181" t="s">
        <v>329</v>
      </c>
      <c r="C22" s="181"/>
      <c r="D22" s="220">
        <v>4105054.7026392291</v>
      </c>
    </row>
    <row r="23" spans="1:8">
      <c r="A23" s="34">
        <f t="shared" si="0"/>
        <v>17</v>
      </c>
      <c r="B23" s="181" t="s">
        <v>330</v>
      </c>
      <c r="C23" s="181"/>
      <c r="D23" s="221">
        <f ca="1">D21-D22</f>
        <v>1151785.5293535083</v>
      </c>
    </row>
    <row r="25" spans="1:8">
      <c r="D25" s="342"/>
    </row>
    <row r="26" spans="1:8">
      <c r="D26" s="7"/>
    </row>
    <row r="27" spans="1:8">
      <c r="D27" s="11"/>
    </row>
    <row r="28" spans="1:8">
      <c r="D28" s="211"/>
    </row>
    <row r="31" spans="1:8">
      <c r="A31" s="30" t="s">
        <v>256</v>
      </c>
    </row>
    <row r="32" spans="1:8">
      <c r="A32" s="30" t="s">
        <v>436</v>
      </c>
    </row>
    <row r="33" spans="1:7">
      <c r="A33" s="23" t="s">
        <v>437</v>
      </c>
    </row>
    <row r="34" spans="1:7">
      <c r="A34" s="23" t="s">
        <v>431</v>
      </c>
      <c r="D34" s="32"/>
      <c r="E34" s="4"/>
      <c r="F34" s="4"/>
      <c r="G34" s="32"/>
    </row>
    <row r="35" spans="1:7">
      <c r="A35" s="23" t="s">
        <v>432</v>
      </c>
      <c r="D35" s="31"/>
      <c r="E35" s="4"/>
      <c r="F35" s="4"/>
      <c r="G35" s="33"/>
    </row>
    <row r="36" spans="1:7">
      <c r="A36" s="23" t="s">
        <v>433</v>
      </c>
      <c r="D36" s="31"/>
      <c r="E36" s="4"/>
      <c r="F36" s="4"/>
      <c r="G36" s="33"/>
    </row>
    <row r="37" spans="1:7">
      <c r="A37" s="23" t="s">
        <v>448</v>
      </c>
      <c r="D37" s="31"/>
      <c r="E37" s="4"/>
      <c r="F37" s="4"/>
      <c r="G37" s="33"/>
    </row>
    <row r="38" spans="1:7">
      <c r="A38" s="23" t="s">
        <v>449</v>
      </c>
      <c r="D38" s="31"/>
      <c r="E38" s="4"/>
      <c r="F38" s="4"/>
      <c r="G38" s="33"/>
    </row>
    <row r="39" spans="1:7" ht="12.75" customHeight="1">
      <c r="A39" s="225" t="s">
        <v>441</v>
      </c>
      <c r="B39" s="225"/>
      <c r="C39" s="225"/>
      <c r="D39" s="225"/>
      <c r="E39" s="225"/>
      <c r="F39" s="225"/>
      <c r="G39" s="225"/>
    </row>
    <row r="40" spans="1:7">
      <c r="A40" s="225" t="s">
        <v>442</v>
      </c>
      <c r="B40" s="225"/>
      <c r="C40" s="225"/>
      <c r="D40" s="225"/>
      <c r="E40" s="225"/>
      <c r="F40" s="225"/>
      <c r="G40" s="225"/>
    </row>
    <row r="41" spans="1:7">
      <c r="A41" s="225" t="s">
        <v>457</v>
      </c>
    </row>
    <row r="42" spans="1:7">
      <c r="A42" s="225" t="s">
        <v>454</v>
      </c>
    </row>
    <row r="43" spans="1:7">
      <c r="A43" s="225"/>
    </row>
    <row r="44" spans="1:7">
      <c r="A44" s="225"/>
    </row>
    <row r="45" spans="1:7">
      <c r="B45" t="s">
        <v>193</v>
      </c>
      <c r="D45" s="186">
        <v>42247</v>
      </c>
    </row>
    <row r="46" spans="1:7">
      <c r="B46" s="178" t="s">
        <v>194</v>
      </c>
      <c r="C46" s="178"/>
      <c r="D46" s="199">
        <v>42308</v>
      </c>
    </row>
  </sheetData>
  <mergeCells count="2">
    <mergeCell ref="A1:E1"/>
    <mergeCell ref="A2:E2"/>
  </mergeCells>
  <pageMargins left="0.7" right="0.7" top="0.89124999999999999" bottom="0.75" header="0.3" footer="0.3"/>
  <pageSetup scale="77" orientation="portrait" r:id="rId1"/>
  <headerFooter scaleWithDoc="0">
    <oddHeader>&amp;R&amp;"Arial,Regular"Questar Gas Company
Docket 15-057-13
Exhibit 1.1 Page 4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3"/>
  <sheetViews>
    <sheetView workbookViewId="0">
      <selection activeCell="E19" sqref="E19"/>
    </sheetView>
  </sheetViews>
  <sheetFormatPr defaultRowHeight="12.75"/>
  <cols>
    <col min="1" max="1" width="4.140625" customWidth="1"/>
    <col min="2" max="2" width="1.7109375" customWidth="1"/>
    <col min="3" max="3" width="16" customWidth="1"/>
    <col min="4" max="4" width="15" customWidth="1"/>
    <col min="5" max="5" width="13.42578125" customWidth="1"/>
    <col min="6" max="6" width="18.7109375" customWidth="1"/>
  </cols>
  <sheetData>
    <row r="1" spans="3:6">
      <c r="C1" s="354" t="s">
        <v>453</v>
      </c>
      <c r="D1" s="354"/>
      <c r="E1" s="354"/>
      <c r="F1" s="354"/>
    </row>
    <row r="2" spans="3:6">
      <c r="C2" s="201"/>
    </row>
    <row r="3" spans="3:6" s="35" customFormat="1">
      <c r="C3" s="343"/>
      <c r="D3" s="345" t="s">
        <v>62</v>
      </c>
      <c r="E3" s="345" t="s">
        <v>63</v>
      </c>
      <c r="F3" s="345"/>
    </row>
    <row r="4" spans="3:6" s="35" customFormat="1">
      <c r="C4" s="343"/>
      <c r="D4" s="344"/>
      <c r="E4" s="345" t="s">
        <v>48</v>
      </c>
      <c r="F4" s="344"/>
    </row>
    <row r="5" spans="3:6">
      <c r="D5" s="201" t="s">
        <v>133</v>
      </c>
      <c r="E5" s="201" t="s">
        <v>45</v>
      </c>
    </row>
    <row r="6" spans="3:6">
      <c r="C6" s="178"/>
    </row>
    <row r="7" spans="3:6">
      <c r="C7" s="193">
        <v>1</v>
      </c>
      <c r="D7">
        <v>42278</v>
      </c>
      <c r="E7" s="349">
        <v>9050.5489000000016</v>
      </c>
    </row>
    <row r="8" spans="3:6">
      <c r="C8" s="193">
        <v>2</v>
      </c>
      <c r="D8">
        <v>42309</v>
      </c>
      <c r="E8" s="349">
        <v>8438.832269999999</v>
      </c>
    </row>
    <row r="9" spans="3:6">
      <c r="C9" s="193">
        <v>3</v>
      </c>
      <c r="D9">
        <v>42339</v>
      </c>
      <c r="E9" s="349">
        <v>8713.5715400000008</v>
      </c>
    </row>
    <row r="10" spans="3:6">
      <c r="C10" s="193">
        <v>4</v>
      </c>
      <c r="D10">
        <v>42370</v>
      </c>
      <c r="E10" s="349">
        <v>9610.251909999999</v>
      </c>
    </row>
    <row r="11" spans="3:6">
      <c r="C11" s="193">
        <v>5</v>
      </c>
      <c r="D11">
        <v>42401</v>
      </c>
      <c r="E11" s="349">
        <v>10126.131010000001</v>
      </c>
    </row>
    <row r="12" spans="3:6">
      <c r="C12" s="193">
        <v>6</v>
      </c>
      <c r="D12">
        <v>42430</v>
      </c>
      <c r="E12" s="349">
        <v>10158.28181</v>
      </c>
    </row>
    <row r="13" spans="3:6">
      <c r="C13" s="193">
        <v>7</v>
      </c>
      <c r="D13">
        <v>42461</v>
      </c>
      <c r="E13" s="349">
        <v>9967.8641100000004</v>
      </c>
    </row>
    <row r="14" spans="3:6">
      <c r="C14" s="193">
        <v>8</v>
      </c>
      <c r="D14">
        <v>42491</v>
      </c>
      <c r="E14" s="349">
        <v>9455.0032900000006</v>
      </c>
    </row>
    <row r="15" spans="3:6">
      <c r="C15" s="193">
        <v>9</v>
      </c>
      <c r="D15">
        <v>42522</v>
      </c>
      <c r="E15" s="349">
        <v>10233.409460000001</v>
      </c>
    </row>
    <row r="16" spans="3:6">
      <c r="C16" s="193">
        <v>10</v>
      </c>
      <c r="D16">
        <v>42552</v>
      </c>
      <c r="E16" s="349">
        <v>10373.061030000001</v>
      </c>
    </row>
    <row r="17" spans="3:5">
      <c r="C17" s="193">
        <v>11</v>
      </c>
      <c r="D17">
        <v>42583</v>
      </c>
      <c r="E17" s="349">
        <v>9959.9868000000006</v>
      </c>
    </row>
    <row r="18" spans="3:5">
      <c r="C18" s="193">
        <v>12</v>
      </c>
      <c r="D18">
        <v>42614</v>
      </c>
      <c r="E18" s="349">
        <v>9429.412769999999</v>
      </c>
    </row>
    <row r="19" spans="3:5">
      <c r="C19" s="193">
        <v>13</v>
      </c>
      <c r="D19" s="201" t="s">
        <v>7</v>
      </c>
      <c r="E19" s="350">
        <f>SUM(E7:E18)</f>
        <v>115516.35489999998</v>
      </c>
    </row>
    <row r="22" spans="3:5">
      <c r="C22" s="178" t="s">
        <v>455</v>
      </c>
    </row>
    <row r="23" spans="3:5">
      <c r="C23" s="178" t="s">
        <v>456</v>
      </c>
    </row>
  </sheetData>
  <mergeCells count="1">
    <mergeCell ref="C1:F1"/>
  </mergeCells>
  <pageMargins left="0.7" right="0.7" top="0.75" bottom="0.75" header="0.3" footer="0.3"/>
  <pageSetup orientation="portrait" r:id="rId1"/>
  <headerFooter>
    <oddHeader>&amp;RQuestar Gas Company
Docket No. 15-057-13
Exhibit 1.2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1"/>
  <sheetViews>
    <sheetView workbookViewId="0"/>
  </sheetViews>
  <sheetFormatPr defaultRowHeight="12.75"/>
  <cols>
    <col min="1" max="1" width="3.28515625" customWidth="1"/>
    <col min="2" max="2" width="5.7109375" customWidth="1"/>
    <col min="3" max="3" width="18.28515625" customWidth="1"/>
    <col min="4" max="4" width="2.7109375" customWidth="1"/>
    <col min="5" max="5" width="17.140625" customWidth="1"/>
    <col min="6" max="6" width="2.5703125" customWidth="1"/>
    <col min="7" max="7" width="17.85546875" customWidth="1"/>
    <col min="8" max="8" width="2.7109375" customWidth="1"/>
    <col min="9" max="9" width="14" bestFit="1" customWidth="1"/>
    <col min="10" max="10" width="2.5703125" customWidth="1"/>
    <col min="11" max="11" width="16" bestFit="1" customWidth="1"/>
    <col min="12" max="12" width="3.85546875" customWidth="1"/>
  </cols>
  <sheetData>
    <row r="1" spans="1:12">
      <c r="A1" s="37"/>
      <c r="B1" s="355" t="s">
        <v>61</v>
      </c>
      <c r="C1" s="355"/>
      <c r="D1" s="355"/>
      <c r="E1" s="355"/>
      <c r="F1" s="355"/>
      <c r="G1" s="355"/>
      <c r="H1" s="355"/>
      <c r="I1" s="355"/>
      <c r="J1" s="355"/>
      <c r="K1" s="355"/>
      <c r="L1" s="38"/>
    </row>
    <row r="2" spans="1:12">
      <c r="A2" s="37"/>
      <c r="B2" s="39"/>
      <c r="C2" s="38"/>
      <c r="D2" s="38"/>
      <c r="E2" s="38"/>
      <c r="F2" s="38"/>
      <c r="G2" s="38"/>
      <c r="H2" s="38"/>
      <c r="I2" s="39"/>
      <c r="J2" s="38"/>
      <c r="K2" s="39"/>
      <c r="L2" s="38"/>
    </row>
    <row r="3" spans="1:12">
      <c r="A3" s="37"/>
      <c r="B3" s="39"/>
      <c r="C3" s="38"/>
      <c r="D3" s="38"/>
      <c r="E3" s="38"/>
      <c r="F3" s="38"/>
      <c r="G3" s="38"/>
      <c r="H3" s="38"/>
      <c r="I3" s="39"/>
      <c r="J3" s="38"/>
      <c r="K3" s="39"/>
      <c r="L3" s="38"/>
    </row>
    <row r="4" spans="1:12">
      <c r="A4" s="37"/>
      <c r="B4" s="39"/>
      <c r="C4" s="40" t="s">
        <v>62</v>
      </c>
      <c r="D4" s="40"/>
      <c r="E4" s="40" t="s">
        <v>63</v>
      </c>
      <c r="F4" s="40"/>
      <c r="G4" s="40" t="s">
        <v>64</v>
      </c>
      <c r="H4" s="40"/>
      <c r="I4" s="40" t="s">
        <v>158</v>
      </c>
      <c r="J4" s="40"/>
      <c r="K4" s="40" t="s">
        <v>78</v>
      </c>
      <c r="L4" s="40"/>
    </row>
    <row r="5" spans="1:12">
      <c r="A5" s="37"/>
      <c r="B5" s="39"/>
      <c r="C5" s="41" t="s">
        <v>65</v>
      </c>
      <c r="D5" s="39"/>
      <c r="E5" s="39"/>
      <c r="F5" s="39"/>
      <c r="G5" s="39"/>
      <c r="H5" s="39"/>
      <c r="I5" s="39"/>
      <c r="J5" s="39"/>
      <c r="K5" s="40" t="s">
        <v>7</v>
      </c>
      <c r="L5" s="39"/>
    </row>
    <row r="6" spans="1:12">
      <c r="A6" s="37"/>
      <c r="B6" s="39"/>
      <c r="C6" s="42" t="s">
        <v>451</v>
      </c>
      <c r="D6" s="40"/>
      <c r="E6" s="40" t="s">
        <v>309</v>
      </c>
      <c r="F6" s="40"/>
      <c r="G6" s="40" t="s">
        <v>310</v>
      </c>
      <c r="H6" s="40"/>
      <c r="I6" s="40" t="s">
        <v>66</v>
      </c>
      <c r="J6" s="40"/>
      <c r="K6" s="40" t="s">
        <v>311</v>
      </c>
      <c r="L6" s="40"/>
    </row>
    <row r="7" spans="1:12">
      <c r="A7" s="37"/>
      <c r="B7" s="39"/>
      <c r="C7" s="43" t="s">
        <v>67</v>
      </c>
      <c r="D7" s="44"/>
      <c r="E7" s="44" t="s">
        <v>312</v>
      </c>
      <c r="F7" s="44"/>
      <c r="G7" s="44" t="s">
        <v>67</v>
      </c>
      <c r="H7" s="44"/>
      <c r="I7" s="44" t="s">
        <v>68</v>
      </c>
      <c r="J7" s="44"/>
      <c r="K7" s="44" t="s">
        <v>45</v>
      </c>
      <c r="L7" s="44"/>
    </row>
    <row r="8" spans="1:12">
      <c r="A8" s="37"/>
      <c r="B8" s="39"/>
      <c r="C8" s="45"/>
      <c r="D8" s="39"/>
      <c r="E8" s="40" t="s">
        <v>48</v>
      </c>
      <c r="F8" s="39"/>
      <c r="G8" s="39"/>
      <c r="H8" s="39"/>
      <c r="I8" s="46"/>
      <c r="J8" s="39"/>
      <c r="K8" s="47"/>
      <c r="L8" s="39"/>
    </row>
    <row r="9" spans="1:12">
      <c r="A9" s="48">
        <v>1</v>
      </c>
      <c r="B9" s="39" t="s">
        <v>69</v>
      </c>
      <c r="C9" s="49">
        <v>274868630</v>
      </c>
      <c r="D9" s="50"/>
      <c r="E9" s="49">
        <v>-465441</v>
      </c>
      <c r="F9" s="50"/>
      <c r="G9" s="49">
        <f t="shared" ref="G9:G15" si="0">C9+E9</f>
        <v>274403189</v>
      </c>
      <c r="H9" s="50"/>
      <c r="I9" s="51">
        <f>G9/$G$17</f>
        <v>0.91221033631803605</v>
      </c>
      <c r="J9" s="50"/>
      <c r="K9" s="50">
        <f ca="1">I9*$K$17</f>
        <v>4795343.9959962778</v>
      </c>
      <c r="L9" s="50"/>
    </row>
    <row r="10" spans="1:12">
      <c r="A10" s="48">
        <v>2</v>
      </c>
      <c r="B10" s="39" t="s">
        <v>70</v>
      </c>
      <c r="C10" s="52">
        <v>3628392</v>
      </c>
      <c r="D10" s="53"/>
      <c r="E10" s="53">
        <v>-5966</v>
      </c>
      <c r="F10" s="53"/>
      <c r="G10" s="53">
        <f t="shared" si="0"/>
        <v>3622426</v>
      </c>
      <c r="H10" s="53"/>
      <c r="I10" s="51">
        <f t="shared" ref="I10:I15" si="1">G10/$G$17</f>
        <v>1.2042186724539845E-2</v>
      </c>
      <c r="J10" s="53"/>
      <c r="K10" s="50">
        <f t="shared" ref="K10:K15" ca="1" si="2">I10*$K$17</f>
        <v>63303.8516547299</v>
      </c>
      <c r="L10" s="53"/>
    </row>
    <row r="11" spans="1:12">
      <c r="A11" s="48">
        <v>3</v>
      </c>
      <c r="B11" s="39" t="s">
        <v>71</v>
      </c>
      <c r="C11" s="52">
        <v>3687190</v>
      </c>
      <c r="D11" s="53"/>
      <c r="E11" s="53">
        <v>-6491</v>
      </c>
      <c r="F11" s="53"/>
      <c r="G11" s="53">
        <f t="shared" si="0"/>
        <v>3680699</v>
      </c>
      <c r="H11" s="53"/>
      <c r="I11" s="51">
        <f t="shared" si="1"/>
        <v>1.2235906167531672E-2</v>
      </c>
      <c r="J11" s="53"/>
      <c r="K11" s="50">
        <f t="shared" ca="1" si="2"/>
        <v>64322.203816368565</v>
      </c>
      <c r="L11" s="53"/>
    </row>
    <row r="12" spans="1:12">
      <c r="A12" s="48">
        <v>4</v>
      </c>
      <c r="B12" s="39" t="s">
        <v>72</v>
      </c>
      <c r="C12" s="52">
        <v>917858</v>
      </c>
      <c r="D12" s="53"/>
      <c r="E12" s="53">
        <v>19433</v>
      </c>
      <c r="F12" s="53"/>
      <c r="G12" s="53">
        <f t="shared" si="0"/>
        <v>937291</v>
      </c>
      <c r="H12" s="53"/>
      <c r="I12" s="51">
        <f t="shared" si="1"/>
        <v>3.1158768287414774E-3</v>
      </c>
      <c r="J12" s="53"/>
      <c r="K12" s="50">
        <f t="shared" ca="1" si="2"/>
        <v>16379.666671262143</v>
      </c>
      <c r="L12" s="53"/>
    </row>
    <row r="13" spans="1:12">
      <c r="A13" s="48">
        <v>5</v>
      </c>
      <c r="B13" s="39" t="s">
        <v>73</v>
      </c>
      <c r="C13" s="52">
        <v>12786004.102</v>
      </c>
      <c r="D13" s="53"/>
      <c r="E13" s="53">
        <f>403481-E14</f>
        <v>394418.89799999999</v>
      </c>
      <c r="F13" s="53"/>
      <c r="G13" s="53">
        <f t="shared" si="0"/>
        <v>13180423</v>
      </c>
      <c r="H13" s="53"/>
      <c r="I13" s="51">
        <f t="shared" si="1"/>
        <v>4.3816247695444885E-2</v>
      </c>
      <c r="J13" s="53"/>
      <c r="K13" s="50">
        <f t="shared" ca="1" si="2"/>
        <v>230335.01370037373</v>
      </c>
      <c r="L13" s="53"/>
    </row>
    <row r="14" spans="1:12">
      <c r="A14" s="48">
        <v>6</v>
      </c>
      <c r="B14" s="39" t="s">
        <v>74</v>
      </c>
      <c r="C14" s="52">
        <v>21967.898000000001</v>
      </c>
      <c r="D14" s="53"/>
      <c r="E14" s="53">
        <f>G14-C14</f>
        <v>9062.101999999999</v>
      </c>
      <c r="F14" s="53"/>
      <c r="G14" s="53">
        <v>31030</v>
      </c>
      <c r="H14" s="53"/>
      <c r="I14" s="51">
        <f t="shared" si="1"/>
        <v>1.0315436507535872E-4</v>
      </c>
      <c r="J14" s="53"/>
      <c r="K14" s="50">
        <f t="shared" ca="1" si="2"/>
        <v>542.2660164338123</v>
      </c>
      <c r="L14" s="53"/>
    </row>
    <row r="15" spans="1:12">
      <c r="A15" s="48">
        <v>7</v>
      </c>
      <c r="B15" s="39" t="s">
        <v>75</v>
      </c>
      <c r="C15" s="54">
        <v>4901271</v>
      </c>
      <c r="D15" s="53"/>
      <c r="E15" s="53">
        <v>54984</v>
      </c>
      <c r="F15" s="53"/>
      <c r="G15" s="53">
        <f t="shared" si="0"/>
        <v>4956255</v>
      </c>
      <c r="H15" s="53"/>
      <c r="I15" s="51">
        <f t="shared" si="1"/>
        <v>1.6476291900630744E-2</v>
      </c>
      <c r="J15" s="53"/>
      <c r="K15" s="55">
        <f t="shared" ca="1" si="2"/>
        <v>86613.234137291787</v>
      </c>
      <c r="L15" s="53"/>
    </row>
    <row r="16" spans="1:12">
      <c r="A16" s="48"/>
      <c r="B16" s="39"/>
      <c r="C16" s="56"/>
      <c r="D16" s="56"/>
      <c r="E16" s="49"/>
      <c r="F16" s="56"/>
      <c r="G16" s="49"/>
      <c r="H16" s="56"/>
      <c r="I16" s="49"/>
      <c r="J16" s="56"/>
      <c r="K16" s="56"/>
      <c r="L16" s="56"/>
    </row>
    <row r="17" spans="1:12">
      <c r="A17" s="48">
        <v>8</v>
      </c>
      <c r="B17" s="39" t="s">
        <v>76</v>
      </c>
      <c r="C17" s="56">
        <v>300811313</v>
      </c>
      <c r="D17" s="56"/>
      <c r="E17" s="56"/>
      <c r="F17" s="56"/>
      <c r="G17" s="56">
        <v>300811313</v>
      </c>
      <c r="H17" s="56"/>
      <c r="I17" s="57">
        <f>SUM(I9:I15)</f>
        <v>1</v>
      </c>
      <c r="J17" s="56"/>
      <c r="K17" s="56">
        <f ca="1">'Exhibit 1.1 Page 4'!D21</f>
        <v>5256840.2319927374</v>
      </c>
      <c r="L17" s="56" t="s">
        <v>50</v>
      </c>
    </row>
    <row r="18" spans="1:12">
      <c r="A18" s="48"/>
      <c r="B18" s="39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>
      <c r="A20" s="37"/>
      <c r="B20" s="37" t="s">
        <v>306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>
      <c r="A21" s="37"/>
      <c r="B21" s="39" t="s">
        <v>444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mergeCells count="1">
    <mergeCell ref="B1:K1"/>
  </mergeCells>
  <pageMargins left="0.7" right="0.7" top="0.86458333333333304" bottom="0.75" header="0.3" footer="0.3"/>
  <pageSetup scale="74" orientation="portrait" r:id="rId1"/>
  <headerFooter scaleWithDoc="0">
    <oddHeader>&amp;RQuestar Gas Company
Docket 15-057-13
Exhibit 1.3</oddHeader>
  </headerFooter>
  <colBreaks count="1" manualBreakCount="1">
    <brk id="12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9"/>
  <sheetViews>
    <sheetView topLeftCell="A53" workbookViewId="0">
      <selection activeCell="K92" sqref="K92"/>
    </sheetView>
  </sheetViews>
  <sheetFormatPr defaultRowHeight="12.75"/>
  <cols>
    <col min="1" max="1" width="5.140625" style="242" bestFit="1" customWidth="1"/>
    <col min="2" max="2" width="9.28515625" style="240" customWidth="1"/>
    <col min="3" max="3" width="16" style="240" customWidth="1"/>
    <col min="4" max="4" width="10.42578125" style="240" bestFit="1" customWidth="1"/>
    <col min="5" max="5" width="10.140625" style="278" customWidth="1"/>
    <col min="6" max="6" width="12.7109375" style="240" customWidth="1"/>
    <col min="7" max="7" width="10.7109375" style="240" customWidth="1"/>
    <col min="8" max="8" width="14.42578125" style="240" customWidth="1"/>
    <col min="9" max="9" width="10.28515625" style="281" customWidth="1"/>
    <col min="10" max="10" width="12.7109375" style="240" customWidth="1"/>
    <col min="11" max="11" width="23.85546875" style="240" bestFit="1" customWidth="1"/>
    <col min="12" max="12" width="15.5703125" style="240" customWidth="1"/>
    <col min="13" max="13" width="1.7109375" style="281" customWidth="1"/>
    <col min="14" max="15" width="9.85546875" style="242" bestFit="1" customWidth="1"/>
    <col min="16" max="16384" width="9.140625" style="242"/>
  </cols>
  <sheetData>
    <row r="1" spans="1:13">
      <c r="A1" s="356" t="s">
        <v>450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3" spans="1:13">
      <c r="C3" s="346" t="s">
        <v>62</v>
      </c>
      <c r="D3" s="346" t="s">
        <v>63</v>
      </c>
      <c r="E3" s="347" t="s">
        <v>64</v>
      </c>
      <c r="F3" s="346" t="s">
        <v>158</v>
      </c>
      <c r="G3" s="346" t="s">
        <v>78</v>
      </c>
      <c r="H3" s="346" t="s">
        <v>79</v>
      </c>
      <c r="I3" s="348"/>
      <c r="J3" s="346" t="s">
        <v>80</v>
      </c>
      <c r="K3" s="346" t="s">
        <v>81</v>
      </c>
      <c r="L3" s="346" t="s">
        <v>82</v>
      </c>
    </row>
    <row r="4" spans="1:13"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3">
      <c r="B5" s="236" t="s">
        <v>85</v>
      </c>
      <c r="C5" s="237"/>
      <c r="D5" s="237"/>
      <c r="E5" s="238"/>
      <c r="F5" s="239" t="s">
        <v>345</v>
      </c>
      <c r="G5" s="239"/>
      <c r="H5" s="239"/>
      <c r="I5" s="237"/>
      <c r="J5" s="357" t="s">
        <v>346</v>
      </c>
      <c r="K5" s="357"/>
      <c r="L5" s="357"/>
      <c r="M5" s="240"/>
    </row>
    <row r="6" spans="1:13" ht="13.5" thickBot="1">
      <c r="B6" s="243" t="s">
        <v>92</v>
      </c>
      <c r="C6" s="244"/>
      <c r="D6" s="244"/>
      <c r="E6" s="245" t="s">
        <v>93</v>
      </c>
      <c r="F6" s="246" t="s">
        <v>93</v>
      </c>
      <c r="G6" s="246" t="s">
        <v>94</v>
      </c>
      <c r="H6" s="247" t="s">
        <v>95</v>
      </c>
      <c r="I6" s="237"/>
      <c r="J6" s="246" t="s">
        <v>93</v>
      </c>
      <c r="K6" s="246" t="s">
        <v>347</v>
      </c>
      <c r="L6" s="247" t="s">
        <v>95</v>
      </c>
      <c r="M6" s="237"/>
    </row>
    <row r="7" spans="1:13">
      <c r="A7" s="242">
        <v>1</v>
      </c>
      <c r="B7" s="248" t="s">
        <v>98</v>
      </c>
      <c r="C7" s="248" t="s">
        <v>99</v>
      </c>
      <c r="D7" s="248" t="s">
        <v>100</v>
      </c>
      <c r="E7" s="249">
        <v>45</v>
      </c>
      <c r="F7" s="250">
        <v>55142829</v>
      </c>
      <c r="G7" s="251">
        <v>2.40998</v>
      </c>
      <c r="H7" s="252">
        <v>132893115</v>
      </c>
      <c r="I7" s="253"/>
      <c r="J7" s="250">
        <v>55142829</v>
      </c>
      <c r="K7" s="254">
        <v>2.3494900953154665</v>
      </c>
      <c r="L7" s="252">
        <v>129557531</v>
      </c>
      <c r="M7" s="237"/>
    </row>
    <row r="8" spans="1:13">
      <c r="A8" s="242">
        <f>A7+1</f>
        <v>2</v>
      </c>
      <c r="B8" s="248"/>
      <c r="C8" s="248" t="s">
        <v>101</v>
      </c>
      <c r="D8" s="248" t="s">
        <v>257</v>
      </c>
      <c r="E8" s="249">
        <v>45</v>
      </c>
      <c r="F8" s="250">
        <v>15485340</v>
      </c>
      <c r="G8" s="251">
        <v>1.0005500000000001</v>
      </c>
      <c r="H8" s="252">
        <v>15493857</v>
      </c>
      <c r="I8" s="256"/>
      <c r="J8" s="250">
        <v>15485340</v>
      </c>
      <c r="K8" s="251">
        <v>1.3494900953154665</v>
      </c>
      <c r="L8" s="252">
        <v>20897313</v>
      </c>
      <c r="M8" s="237"/>
    </row>
    <row r="9" spans="1:13" hidden="1">
      <c r="A9" s="242">
        <f t="shared" ref="A9:A72" si="0">A8+1</f>
        <v>3</v>
      </c>
      <c r="C9" s="248" t="s">
        <v>110</v>
      </c>
      <c r="D9" s="248" t="s">
        <v>108</v>
      </c>
      <c r="E9" s="249">
        <v>200</v>
      </c>
      <c r="F9" s="257">
        <v>0</v>
      </c>
      <c r="G9" s="258">
        <v>1.0005500000000001</v>
      </c>
      <c r="H9" s="259">
        <v>0</v>
      </c>
      <c r="I9" s="256"/>
      <c r="J9" s="259">
        <v>0</v>
      </c>
      <c r="K9" s="258">
        <v>1.3494900953154665</v>
      </c>
      <c r="L9" s="259">
        <v>0</v>
      </c>
      <c r="M9" s="237"/>
    </row>
    <row r="10" spans="1:13">
      <c r="A10" s="242">
        <f t="shared" si="0"/>
        <v>4</v>
      </c>
      <c r="C10" s="248"/>
      <c r="D10" s="248"/>
      <c r="E10" s="260"/>
      <c r="F10" s="250"/>
      <c r="G10" s="251"/>
      <c r="H10" s="252"/>
      <c r="I10" s="256"/>
      <c r="J10" s="250"/>
      <c r="K10" s="251"/>
      <c r="L10" s="252"/>
      <c r="M10" s="237"/>
    </row>
    <row r="11" spans="1:13">
      <c r="A11" s="242">
        <f t="shared" si="0"/>
        <v>5</v>
      </c>
      <c r="B11" s="237" t="s">
        <v>103</v>
      </c>
      <c r="C11" s="248" t="s">
        <v>99</v>
      </c>
      <c r="D11" s="248" t="s">
        <v>100</v>
      </c>
      <c r="E11" s="260">
        <v>45</v>
      </c>
      <c r="F11" s="250">
        <v>23351901</v>
      </c>
      <c r="G11" s="251">
        <v>2.0297800000000001</v>
      </c>
      <c r="H11" s="250">
        <v>47399222</v>
      </c>
      <c r="I11" s="256"/>
      <c r="J11" s="250">
        <v>23351901</v>
      </c>
      <c r="K11" s="254">
        <v>1.7266954328012654</v>
      </c>
      <c r="L11" s="250">
        <v>40321621</v>
      </c>
      <c r="M11" s="237"/>
    </row>
    <row r="12" spans="1:13">
      <c r="A12" s="242">
        <f t="shared" si="0"/>
        <v>6</v>
      </c>
      <c r="B12" s="237"/>
      <c r="C12" s="248" t="s">
        <v>101</v>
      </c>
      <c r="D12" s="248" t="s">
        <v>257</v>
      </c>
      <c r="E12" s="260">
        <v>45</v>
      </c>
      <c r="F12" s="250">
        <v>4515425</v>
      </c>
      <c r="G12" s="251">
        <v>0.75351000000000001</v>
      </c>
      <c r="H12" s="250">
        <v>3402418</v>
      </c>
      <c r="I12" s="256"/>
      <c r="J12" s="250">
        <v>4515425</v>
      </c>
      <c r="K12" s="251">
        <v>0.72669543280126536</v>
      </c>
      <c r="L12" s="250">
        <v>3281339</v>
      </c>
      <c r="M12" s="237"/>
    </row>
    <row r="13" spans="1:13" hidden="1">
      <c r="A13" s="242">
        <f t="shared" si="0"/>
        <v>7</v>
      </c>
      <c r="B13" s="237"/>
      <c r="C13" s="248" t="s">
        <v>110</v>
      </c>
      <c r="D13" s="248" t="s">
        <v>108</v>
      </c>
      <c r="E13" s="260">
        <v>200</v>
      </c>
      <c r="F13" s="257">
        <v>0</v>
      </c>
      <c r="G13" s="251">
        <v>0.75351000000000001</v>
      </c>
      <c r="H13" s="257">
        <v>0</v>
      </c>
      <c r="I13" s="256"/>
      <c r="J13" s="250">
        <v>0</v>
      </c>
      <c r="K13" s="258">
        <v>0.72669543280126536</v>
      </c>
      <c r="L13" s="259">
        <v>0</v>
      </c>
      <c r="M13" s="237"/>
    </row>
    <row r="14" spans="1:13" ht="13.5" thickBot="1">
      <c r="A14" s="242">
        <f t="shared" si="0"/>
        <v>8</v>
      </c>
      <c r="B14" s="236" t="s">
        <v>104</v>
      </c>
      <c r="D14" s="248"/>
      <c r="E14" s="260"/>
      <c r="F14" s="261">
        <v>98495495</v>
      </c>
      <c r="G14" s="262"/>
      <c r="H14" s="261">
        <v>199188612</v>
      </c>
      <c r="I14" s="263"/>
      <c r="J14" s="261">
        <v>98495495</v>
      </c>
      <c r="K14" s="264"/>
      <c r="L14" s="261">
        <v>194057803.04435086</v>
      </c>
      <c r="M14" s="237"/>
    </row>
    <row r="15" spans="1:13" ht="13.5" thickTop="1">
      <c r="A15" s="242">
        <f t="shared" si="0"/>
        <v>9</v>
      </c>
      <c r="B15" s="237"/>
      <c r="C15" s="248"/>
      <c r="D15" s="248"/>
      <c r="E15" s="260"/>
      <c r="F15" s="250"/>
      <c r="G15" s="265"/>
      <c r="H15" s="252"/>
      <c r="I15" s="256"/>
      <c r="J15" s="250"/>
      <c r="K15" s="265"/>
      <c r="L15" s="252"/>
      <c r="M15" s="237"/>
    </row>
    <row r="16" spans="1:13" ht="13.5" thickBot="1">
      <c r="A16" s="242">
        <f t="shared" si="0"/>
        <v>10</v>
      </c>
      <c r="B16" s="267" t="s">
        <v>348</v>
      </c>
      <c r="C16" s="268"/>
      <c r="D16" s="268"/>
      <c r="E16" s="269"/>
      <c r="F16" s="246" t="s">
        <v>349</v>
      </c>
      <c r="G16" s="246" t="s">
        <v>94</v>
      </c>
      <c r="H16" s="247" t="s">
        <v>95</v>
      </c>
      <c r="I16" s="237"/>
      <c r="J16" s="246" t="s">
        <v>349</v>
      </c>
      <c r="K16" s="246" t="s">
        <v>347</v>
      </c>
      <c r="L16" s="247" t="s">
        <v>95</v>
      </c>
      <c r="M16" s="237"/>
    </row>
    <row r="17" spans="1:13">
      <c r="A17" s="242">
        <f t="shared" si="0"/>
        <v>11</v>
      </c>
      <c r="B17" s="271" t="s">
        <v>152</v>
      </c>
      <c r="C17" s="248" t="s">
        <v>350</v>
      </c>
      <c r="D17" s="237"/>
      <c r="E17" s="238"/>
      <c r="F17" s="250">
        <v>923184</v>
      </c>
      <c r="G17" s="272"/>
      <c r="H17" s="252"/>
      <c r="I17" s="237"/>
      <c r="J17" s="250">
        <v>923184</v>
      </c>
      <c r="K17" s="272"/>
      <c r="L17" s="252"/>
      <c r="M17" s="237"/>
    </row>
    <row r="18" spans="1:13">
      <c r="A18" s="242">
        <f t="shared" si="0"/>
        <v>12</v>
      </c>
      <c r="B18" s="237"/>
      <c r="C18" s="248" t="s">
        <v>351</v>
      </c>
      <c r="D18" s="237"/>
      <c r="E18" s="238"/>
      <c r="F18" s="250">
        <v>11078208</v>
      </c>
      <c r="G18" s="272"/>
      <c r="H18" s="252"/>
      <c r="I18" s="237"/>
      <c r="J18" s="250">
        <v>11078208</v>
      </c>
      <c r="K18" s="272"/>
      <c r="L18" s="252"/>
      <c r="M18" s="237"/>
    </row>
    <row r="19" spans="1:13">
      <c r="A19" s="242">
        <f t="shared" si="0"/>
        <v>13</v>
      </c>
      <c r="B19" s="237"/>
      <c r="C19" s="248" t="s">
        <v>352</v>
      </c>
      <c r="D19" s="237"/>
      <c r="E19" s="238"/>
      <c r="F19" s="234">
        <v>1</v>
      </c>
      <c r="G19" s="272"/>
      <c r="H19" s="252"/>
      <c r="I19" s="237"/>
      <c r="J19" s="235">
        <v>1</v>
      </c>
      <c r="K19" s="272"/>
      <c r="L19" s="252"/>
      <c r="M19" s="237"/>
    </row>
    <row r="20" spans="1:13">
      <c r="A20" s="242">
        <f t="shared" si="0"/>
        <v>14</v>
      </c>
      <c r="B20" s="237"/>
      <c r="C20" s="248" t="s">
        <v>353</v>
      </c>
      <c r="D20" s="237"/>
      <c r="E20" s="238"/>
      <c r="F20" s="273">
        <v>11078208</v>
      </c>
      <c r="G20" s="272"/>
      <c r="H20" s="252"/>
      <c r="I20" s="237"/>
      <c r="J20" s="250">
        <v>11078208</v>
      </c>
      <c r="K20" s="272"/>
      <c r="L20" s="252"/>
      <c r="M20" s="237"/>
    </row>
    <row r="21" spans="1:13">
      <c r="A21" s="242">
        <f t="shared" si="0"/>
        <v>15</v>
      </c>
      <c r="B21" s="237"/>
      <c r="C21" s="248"/>
      <c r="D21" s="274" t="s">
        <v>151</v>
      </c>
      <c r="E21" s="238"/>
      <c r="F21" s="252"/>
      <c r="G21" s="272"/>
      <c r="H21" s="252"/>
      <c r="I21" s="237"/>
      <c r="J21" s="252"/>
      <c r="K21" s="272"/>
      <c r="L21" s="252"/>
      <c r="M21" s="237"/>
    </row>
    <row r="22" spans="1:13">
      <c r="A22" s="242">
        <f t="shared" si="0"/>
        <v>16</v>
      </c>
      <c r="B22" s="237"/>
      <c r="C22" s="248" t="s">
        <v>354</v>
      </c>
      <c r="D22" s="237">
        <v>0.96549300000000005</v>
      </c>
      <c r="E22" s="238"/>
      <c r="F22" s="252">
        <v>10695932.276544001</v>
      </c>
      <c r="G22" s="275">
        <v>5</v>
      </c>
      <c r="H22" s="252">
        <v>53479661.382720008</v>
      </c>
      <c r="I22" s="233">
        <v>0.96775599999999995</v>
      </c>
      <c r="J22" s="252">
        <v>10721002.261248</v>
      </c>
      <c r="K22" s="275">
        <v>6.75</v>
      </c>
      <c r="L22" s="252">
        <v>72366765.263423994</v>
      </c>
      <c r="M22" s="237"/>
    </row>
    <row r="23" spans="1:13">
      <c r="A23" s="242">
        <f t="shared" si="0"/>
        <v>17</v>
      </c>
      <c r="B23" s="237"/>
      <c r="C23" s="248" t="s">
        <v>355</v>
      </c>
      <c r="D23" s="237">
        <v>2.5637E-2</v>
      </c>
      <c r="E23" s="238"/>
      <c r="F23" s="252">
        <v>284012.01849599998</v>
      </c>
      <c r="G23" s="275">
        <v>21</v>
      </c>
      <c r="H23" s="252">
        <v>5964252.3884159997</v>
      </c>
      <c r="I23" s="233">
        <v>3.0702E-2</v>
      </c>
      <c r="J23" s="252">
        <v>340123.142016</v>
      </c>
      <c r="K23" s="275">
        <v>18.25</v>
      </c>
      <c r="L23" s="252">
        <v>6207247.3417919995</v>
      </c>
      <c r="M23" s="237"/>
    </row>
    <row r="24" spans="1:13">
      <c r="A24" s="242">
        <f t="shared" si="0"/>
        <v>18</v>
      </c>
      <c r="B24" s="237"/>
      <c r="C24" s="248" t="s">
        <v>356</v>
      </c>
      <c r="D24" s="237">
        <v>8.8100000000000001E-3</v>
      </c>
      <c r="E24" s="238"/>
      <c r="F24" s="252">
        <v>97599.012480000005</v>
      </c>
      <c r="G24" s="275">
        <v>55</v>
      </c>
      <c r="H24" s="252">
        <v>5367945.6864</v>
      </c>
      <c r="I24" s="233">
        <v>1.3960000000000001E-3</v>
      </c>
      <c r="J24" s="252">
        <v>15465.178368000001</v>
      </c>
      <c r="K24" s="275">
        <v>63.5</v>
      </c>
      <c r="L24" s="252">
        <v>982038.82636800001</v>
      </c>
      <c r="M24" s="237"/>
    </row>
    <row r="25" spans="1:13">
      <c r="A25" s="242">
        <f t="shared" si="0"/>
        <v>19</v>
      </c>
      <c r="B25" s="237"/>
      <c r="C25" s="248" t="s">
        <v>357</v>
      </c>
      <c r="D25" s="237">
        <v>6.7999999999999999E-5</v>
      </c>
      <c r="E25" s="238"/>
      <c r="F25" s="252">
        <v>753.31814399999996</v>
      </c>
      <c r="G25" s="275">
        <v>244</v>
      </c>
      <c r="H25" s="252">
        <v>183809.627136</v>
      </c>
      <c r="I25" s="233">
        <v>1.45E-4</v>
      </c>
      <c r="J25" s="252">
        <v>1606.34016</v>
      </c>
      <c r="K25" s="275">
        <v>420.25</v>
      </c>
      <c r="L25" s="252">
        <v>675064.45224000001</v>
      </c>
      <c r="M25" s="237"/>
    </row>
    <row r="26" spans="1:13">
      <c r="A26" s="242">
        <f t="shared" si="0"/>
        <v>20</v>
      </c>
      <c r="B26" s="237"/>
      <c r="C26" s="276" t="s">
        <v>358</v>
      </c>
      <c r="D26" s="277">
        <v>0</v>
      </c>
      <c r="E26" s="238"/>
      <c r="F26" s="252">
        <v>0</v>
      </c>
      <c r="G26" s="275">
        <v>0</v>
      </c>
      <c r="H26" s="252">
        <v>0</v>
      </c>
      <c r="I26" s="237">
        <v>0</v>
      </c>
      <c r="J26" s="252">
        <v>0</v>
      </c>
      <c r="K26" s="275">
        <v>0</v>
      </c>
      <c r="L26" s="252">
        <v>0</v>
      </c>
      <c r="M26" s="237"/>
    </row>
    <row r="27" spans="1:13">
      <c r="A27" s="242">
        <f t="shared" si="0"/>
        <v>21</v>
      </c>
      <c r="C27" s="248" t="s">
        <v>359</v>
      </c>
      <c r="F27" s="279">
        <v>11078296.625663999</v>
      </c>
      <c r="G27" s="280"/>
      <c r="H27" s="279">
        <v>64995669.084672011</v>
      </c>
      <c r="J27" s="279">
        <v>11078196.921791999</v>
      </c>
      <c r="K27" s="282">
        <v>7.2422539922539935</v>
      </c>
      <c r="L27" s="279">
        <v>80231115.883824006</v>
      </c>
      <c r="M27" s="237"/>
    </row>
    <row r="28" spans="1:13">
      <c r="A28" s="242">
        <f t="shared" si="0"/>
        <v>22</v>
      </c>
      <c r="B28" s="237"/>
      <c r="C28" s="237"/>
      <c r="D28" s="237"/>
      <c r="E28" s="238"/>
      <c r="F28" s="252"/>
      <c r="G28" s="272"/>
      <c r="H28" s="252"/>
      <c r="I28" s="237"/>
      <c r="J28" s="252"/>
      <c r="K28" s="272"/>
      <c r="L28" s="252"/>
      <c r="M28" s="237"/>
    </row>
    <row r="29" spans="1:13">
      <c r="A29" s="242">
        <f t="shared" si="0"/>
        <v>23</v>
      </c>
      <c r="B29" s="237"/>
      <c r="C29" s="276" t="s">
        <v>360</v>
      </c>
      <c r="D29" s="252"/>
      <c r="E29" s="238"/>
      <c r="G29" s="283"/>
      <c r="H29" s="252">
        <v>114270</v>
      </c>
      <c r="I29" s="237"/>
      <c r="J29" s="283"/>
      <c r="K29" s="283"/>
      <c r="L29" s="252">
        <v>114270</v>
      </c>
      <c r="M29" s="237"/>
    </row>
    <row r="30" spans="1:13" ht="13.5" thickBot="1">
      <c r="A30" s="242">
        <f t="shared" si="0"/>
        <v>24</v>
      </c>
      <c r="B30" s="237"/>
      <c r="C30" s="237"/>
      <c r="D30" s="283"/>
      <c r="E30" s="238"/>
      <c r="G30" s="283"/>
      <c r="H30" s="284"/>
      <c r="I30" s="237"/>
      <c r="J30" s="283"/>
      <c r="K30" s="283"/>
      <c r="L30" s="284"/>
      <c r="M30" s="237"/>
    </row>
    <row r="31" spans="1:13">
      <c r="A31" s="242">
        <f t="shared" si="0"/>
        <v>25</v>
      </c>
      <c r="B31" s="285" t="s">
        <v>361</v>
      </c>
      <c r="C31" s="237"/>
      <c r="D31" s="237"/>
      <c r="E31" s="238"/>
      <c r="F31" s="238"/>
      <c r="G31" s="238"/>
      <c r="H31" s="252">
        <v>65109939.084672011</v>
      </c>
      <c r="I31" s="237"/>
      <c r="J31" s="283"/>
      <c r="K31" s="283"/>
      <c r="L31" s="252">
        <v>80345385.883824006</v>
      </c>
      <c r="M31" s="237"/>
    </row>
    <row r="32" spans="1:13" ht="13.5" thickBot="1">
      <c r="A32" s="242">
        <f t="shared" si="0"/>
        <v>26</v>
      </c>
      <c r="B32" s="237"/>
      <c r="C32" s="237"/>
      <c r="D32" s="237"/>
      <c r="E32" s="238"/>
      <c r="F32" s="238"/>
      <c r="G32" s="238"/>
      <c r="H32" s="286"/>
      <c r="I32" s="237"/>
      <c r="J32" s="283"/>
      <c r="K32" s="283"/>
      <c r="L32" s="286"/>
      <c r="M32" s="237"/>
    </row>
    <row r="33" spans="1:13" ht="13.5" thickTop="1">
      <c r="A33" s="242">
        <f t="shared" si="0"/>
        <v>27</v>
      </c>
      <c r="B33" s="237" t="s">
        <v>362</v>
      </c>
      <c r="C33" s="237"/>
      <c r="D33" s="237"/>
      <c r="E33" s="238"/>
      <c r="F33" s="238"/>
      <c r="G33" s="238"/>
      <c r="H33" s="287"/>
      <c r="I33" s="237"/>
      <c r="J33" s="283"/>
      <c r="K33" s="283"/>
      <c r="L33" s="287">
        <v>274403188.92817485</v>
      </c>
      <c r="M33" s="237"/>
    </row>
    <row r="34" spans="1:13">
      <c r="A34" s="242">
        <f t="shared" si="0"/>
        <v>28</v>
      </c>
      <c r="B34" s="237" t="s">
        <v>363</v>
      </c>
      <c r="C34" s="237"/>
      <c r="D34" s="237"/>
      <c r="E34" s="238"/>
      <c r="F34" s="238"/>
      <c r="G34" s="238"/>
      <c r="H34" s="288"/>
      <c r="I34" s="237"/>
      <c r="J34" s="272"/>
      <c r="K34" s="272"/>
      <c r="L34" s="289">
        <v>2541152.7891657003</v>
      </c>
      <c r="M34" s="237"/>
    </row>
    <row r="35" spans="1:13">
      <c r="A35" s="242">
        <f t="shared" si="0"/>
        <v>29</v>
      </c>
      <c r="B35" s="285" t="s">
        <v>364</v>
      </c>
      <c r="C35" s="237"/>
      <c r="D35" s="237"/>
      <c r="E35" s="238"/>
      <c r="F35" s="238"/>
      <c r="G35" s="238"/>
      <c r="H35" s="287">
        <v>264298551.084672</v>
      </c>
      <c r="I35" s="290"/>
      <c r="J35" s="290"/>
      <c r="K35" s="237"/>
      <c r="L35" s="290">
        <v>276944341.71734053</v>
      </c>
      <c r="M35" s="237"/>
    </row>
    <row r="36" spans="1:13" ht="13.5" thickBot="1">
      <c r="A36" s="242">
        <f t="shared" si="0"/>
        <v>30</v>
      </c>
      <c r="B36" s="291"/>
      <c r="C36" s="268"/>
      <c r="D36" s="268"/>
      <c r="E36" s="269"/>
      <c r="F36" s="284"/>
      <c r="G36" s="268"/>
      <c r="H36" s="284"/>
      <c r="I36" s="284"/>
      <c r="J36" s="284"/>
      <c r="K36" s="284"/>
      <c r="L36" s="284"/>
      <c r="M36" s="284"/>
    </row>
    <row r="37" spans="1:13">
      <c r="A37" s="242">
        <f t="shared" si="0"/>
        <v>31</v>
      </c>
      <c r="B37" s="285"/>
      <c r="C37" s="237"/>
      <c r="D37" s="237"/>
      <c r="E37" s="238"/>
      <c r="F37" s="290"/>
      <c r="G37" s="237"/>
      <c r="H37" s="290"/>
      <c r="I37" s="290"/>
      <c r="J37" s="290"/>
      <c r="K37" s="237"/>
      <c r="L37" s="290"/>
      <c r="M37" s="237"/>
    </row>
    <row r="38" spans="1:13">
      <c r="A38" s="242">
        <f t="shared" si="0"/>
        <v>32</v>
      </c>
      <c r="B38" s="236" t="s">
        <v>105</v>
      </c>
      <c r="C38" s="237"/>
      <c r="D38" s="237"/>
      <c r="E38" s="238"/>
      <c r="F38" s="357" t="s">
        <v>345</v>
      </c>
      <c r="G38" s="357"/>
      <c r="H38" s="357"/>
      <c r="I38" s="237"/>
      <c r="J38" s="357" t="s">
        <v>346</v>
      </c>
      <c r="K38" s="357"/>
      <c r="L38" s="357"/>
      <c r="M38" s="240"/>
    </row>
    <row r="39" spans="1:13" ht="13.5" thickBot="1">
      <c r="A39" s="242">
        <f t="shared" si="0"/>
        <v>33</v>
      </c>
      <c r="B39" s="243" t="s">
        <v>92</v>
      </c>
      <c r="C39" s="244"/>
      <c r="D39" s="244"/>
      <c r="E39" s="245" t="s">
        <v>93</v>
      </c>
      <c r="F39" s="246" t="s">
        <v>93</v>
      </c>
      <c r="G39" s="246" t="s">
        <v>94</v>
      </c>
      <c r="H39" s="247" t="s">
        <v>95</v>
      </c>
      <c r="I39" s="237"/>
      <c r="J39" s="246" t="s">
        <v>93</v>
      </c>
      <c r="K39" s="246" t="s">
        <v>347</v>
      </c>
      <c r="L39" s="247" t="s">
        <v>95</v>
      </c>
      <c r="M39" s="237"/>
    </row>
    <row r="40" spans="1:13">
      <c r="A40" s="242">
        <f t="shared" si="0"/>
        <v>34</v>
      </c>
      <c r="B40" s="276" t="s">
        <v>107</v>
      </c>
      <c r="C40" s="248"/>
      <c r="D40" s="248" t="s">
        <v>108</v>
      </c>
      <c r="E40" s="260">
        <v>0</v>
      </c>
      <c r="F40" s="250">
        <v>678836</v>
      </c>
      <c r="G40" s="251">
        <v>5.2494399999999999</v>
      </c>
      <c r="H40" s="250">
        <v>3563509</v>
      </c>
      <c r="I40" s="256"/>
      <c r="J40" s="250">
        <v>678836</v>
      </c>
      <c r="K40" s="251">
        <v>5.4220733027292614</v>
      </c>
      <c r="L40" s="250">
        <v>3680699</v>
      </c>
      <c r="M40" s="237"/>
    </row>
    <row r="41" spans="1:13" ht="13.5" thickBot="1">
      <c r="A41" s="242">
        <f t="shared" si="0"/>
        <v>35</v>
      </c>
      <c r="B41" s="237"/>
      <c r="C41" s="237"/>
      <c r="D41" s="237"/>
      <c r="E41" s="238"/>
      <c r="F41" s="283"/>
      <c r="G41" s="283"/>
      <c r="H41" s="286"/>
      <c r="I41" s="237"/>
      <c r="J41" s="283"/>
      <c r="K41" s="283"/>
      <c r="L41" s="286"/>
      <c r="M41" s="237"/>
    </row>
    <row r="42" spans="1:13" ht="13.5" thickTop="1">
      <c r="A42" s="242">
        <f t="shared" si="0"/>
        <v>36</v>
      </c>
      <c r="B42" s="237" t="s">
        <v>365</v>
      </c>
      <c r="C42" s="237"/>
      <c r="D42" s="237"/>
      <c r="E42" s="238"/>
      <c r="F42" s="283"/>
      <c r="G42" s="283"/>
      <c r="H42" s="287"/>
      <c r="I42" s="237"/>
      <c r="J42" s="283"/>
      <c r="K42" s="283"/>
      <c r="L42" s="287">
        <v>3680698.5525315208</v>
      </c>
      <c r="M42" s="237"/>
    </row>
    <row r="43" spans="1:13">
      <c r="A43" s="242">
        <f t="shared" si="0"/>
        <v>37</v>
      </c>
      <c r="B43" s="237" t="s">
        <v>363</v>
      </c>
      <c r="C43" s="237"/>
      <c r="D43" s="237"/>
      <c r="E43" s="238"/>
      <c r="F43" s="272"/>
      <c r="G43" s="272"/>
      <c r="H43" s="288"/>
      <c r="I43" s="237"/>
      <c r="J43" s="272"/>
      <c r="K43" s="272"/>
      <c r="L43" s="289">
        <v>8834.3205698630136</v>
      </c>
      <c r="M43" s="237"/>
    </row>
    <row r="44" spans="1:13">
      <c r="A44" s="242">
        <f t="shared" si="0"/>
        <v>38</v>
      </c>
      <c r="B44" s="236" t="s">
        <v>366</v>
      </c>
      <c r="C44" s="237"/>
      <c r="D44" s="237"/>
      <c r="E44" s="238"/>
      <c r="F44" s="290"/>
      <c r="G44" s="237"/>
      <c r="H44" s="287">
        <v>3563509</v>
      </c>
      <c r="I44" s="290"/>
      <c r="J44" s="290"/>
      <c r="K44" s="237"/>
      <c r="L44" s="250">
        <v>3689532.8731013839</v>
      </c>
      <c r="M44" s="237"/>
    </row>
    <row r="45" spans="1:13" ht="13.5" thickBot="1">
      <c r="A45" s="242">
        <f t="shared" si="0"/>
        <v>39</v>
      </c>
      <c r="B45" s="291"/>
      <c r="C45" s="268"/>
      <c r="D45" s="268"/>
      <c r="E45" s="269"/>
      <c r="F45" s="284"/>
      <c r="G45" s="268"/>
      <c r="H45" s="284"/>
      <c r="I45" s="284"/>
      <c r="J45" s="284"/>
      <c r="K45" s="268"/>
      <c r="L45" s="284"/>
      <c r="M45" s="268"/>
    </row>
    <row r="46" spans="1:13">
      <c r="A46" s="242">
        <f t="shared" si="0"/>
        <v>40</v>
      </c>
      <c r="B46" s="285"/>
      <c r="C46" s="237"/>
      <c r="D46" s="237"/>
      <c r="E46" s="238"/>
      <c r="F46" s="290"/>
      <c r="G46" s="237"/>
      <c r="H46" s="290"/>
      <c r="I46" s="290"/>
      <c r="J46" s="290"/>
      <c r="K46" s="237"/>
      <c r="L46" s="290"/>
      <c r="M46" s="237"/>
    </row>
    <row r="47" spans="1:13">
      <c r="A47" s="242">
        <f t="shared" si="0"/>
        <v>41</v>
      </c>
      <c r="B47" s="236" t="s">
        <v>109</v>
      </c>
      <c r="C47" s="237"/>
      <c r="D47" s="237"/>
      <c r="E47" s="238"/>
      <c r="F47" s="239" t="s">
        <v>345</v>
      </c>
      <c r="G47" s="239"/>
      <c r="H47" s="239"/>
      <c r="I47" s="237"/>
      <c r="J47" s="357" t="s">
        <v>346</v>
      </c>
      <c r="K47" s="357"/>
      <c r="L47" s="357"/>
      <c r="M47" s="240"/>
    </row>
    <row r="48" spans="1:13" ht="13.5" thickBot="1">
      <c r="A48" s="242">
        <f t="shared" si="0"/>
        <v>42</v>
      </c>
      <c r="B48" s="243" t="s">
        <v>92</v>
      </c>
      <c r="C48" s="244"/>
      <c r="D48" s="244"/>
      <c r="E48" s="245" t="s">
        <v>93</v>
      </c>
      <c r="F48" s="246" t="s">
        <v>93</v>
      </c>
      <c r="G48" s="246" t="s">
        <v>94</v>
      </c>
      <c r="H48" s="247" t="s">
        <v>95</v>
      </c>
      <c r="I48" s="237"/>
      <c r="J48" s="246" t="s">
        <v>93</v>
      </c>
      <c r="K48" s="246" t="s">
        <v>347</v>
      </c>
      <c r="L48" s="247" t="s">
        <v>95</v>
      </c>
      <c r="M48" s="237"/>
    </row>
    <row r="49" spans="1:13">
      <c r="A49" s="242">
        <f t="shared" si="0"/>
        <v>43</v>
      </c>
      <c r="B49" s="248" t="s">
        <v>98</v>
      </c>
      <c r="C49" s="248" t="s">
        <v>99</v>
      </c>
      <c r="D49" s="248" t="s">
        <v>100</v>
      </c>
      <c r="E49" s="260">
        <v>200</v>
      </c>
      <c r="F49" s="250">
        <v>545682</v>
      </c>
      <c r="G49" s="251">
        <v>0.80352000000000001</v>
      </c>
      <c r="H49" s="250">
        <v>438466</v>
      </c>
      <c r="I49" s="256"/>
      <c r="J49" s="250">
        <v>545682</v>
      </c>
      <c r="K49" s="254">
        <v>1.2457212331849348</v>
      </c>
      <c r="L49" s="250">
        <v>679768</v>
      </c>
      <c r="M49" s="237"/>
    </row>
    <row r="50" spans="1:13">
      <c r="A50" s="242">
        <f t="shared" si="0"/>
        <v>44</v>
      </c>
      <c r="C50" s="248" t="s">
        <v>101</v>
      </c>
      <c r="D50" s="248" t="s">
        <v>102</v>
      </c>
      <c r="E50" s="260">
        <v>1800</v>
      </c>
      <c r="F50" s="250">
        <v>1221092</v>
      </c>
      <c r="G50" s="251">
        <v>0.64281999999999995</v>
      </c>
      <c r="H50" s="250">
        <v>784942</v>
      </c>
      <c r="I50" s="256"/>
      <c r="J50" s="250">
        <v>1221092</v>
      </c>
      <c r="K50" s="251">
        <v>0.86572123318493477</v>
      </c>
      <c r="L50" s="250">
        <v>1057125</v>
      </c>
      <c r="M50" s="237"/>
    </row>
    <row r="51" spans="1:13">
      <c r="A51" s="242">
        <f t="shared" si="0"/>
        <v>45</v>
      </c>
      <c r="C51" s="248" t="s">
        <v>110</v>
      </c>
      <c r="D51" s="248" t="s">
        <v>108</v>
      </c>
      <c r="E51" s="260">
        <v>2000</v>
      </c>
      <c r="F51" s="250">
        <v>675610</v>
      </c>
      <c r="G51" s="251">
        <v>0.57853999999999994</v>
      </c>
      <c r="H51" s="250">
        <v>390867</v>
      </c>
      <c r="I51" s="256"/>
      <c r="J51" s="250">
        <v>675610</v>
      </c>
      <c r="K51" s="251">
        <v>0.46572123318493475</v>
      </c>
      <c r="L51" s="250">
        <v>314646</v>
      </c>
      <c r="M51" s="237"/>
    </row>
    <row r="52" spans="1:13">
      <c r="A52" s="242">
        <f t="shared" si="0"/>
        <v>46</v>
      </c>
      <c r="B52" s="240" t="s">
        <v>111</v>
      </c>
      <c r="C52" s="248"/>
      <c r="D52" s="248"/>
      <c r="E52" s="260"/>
      <c r="F52" s="250"/>
      <c r="G52" s="265"/>
      <c r="H52" s="252"/>
      <c r="I52" s="256"/>
      <c r="J52" s="250"/>
      <c r="K52" s="265"/>
      <c r="L52" s="252"/>
      <c r="M52" s="237"/>
    </row>
    <row r="53" spans="1:13">
      <c r="A53" s="242">
        <f t="shared" si="0"/>
        <v>47</v>
      </c>
      <c r="B53" s="237" t="s">
        <v>103</v>
      </c>
      <c r="C53" s="248" t="s">
        <v>99</v>
      </c>
      <c r="D53" s="248" t="s">
        <v>100</v>
      </c>
      <c r="E53" s="260">
        <v>200</v>
      </c>
      <c r="F53" s="250">
        <v>713654</v>
      </c>
      <c r="G53" s="251">
        <v>0.71853999999999996</v>
      </c>
      <c r="H53" s="250">
        <v>512789</v>
      </c>
      <c r="I53" s="256"/>
      <c r="J53" s="250">
        <v>713654</v>
      </c>
      <c r="K53" s="251">
        <v>0.8193675788285133</v>
      </c>
      <c r="L53" s="250">
        <v>584745</v>
      </c>
      <c r="M53" s="237"/>
    </row>
    <row r="54" spans="1:13">
      <c r="A54" s="242">
        <f t="shared" si="0"/>
        <v>48</v>
      </c>
      <c r="B54" s="237"/>
      <c r="C54" s="248" t="s">
        <v>101</v>
      </c>
      <c r="D54" s="248" t="s">
        <v>102</v>
      </c>
      <c r="E54" s="260">
        <v>1800</v>
      </c>
      <c r="F54" s="250">
        <v>1241858</v>
      </c>
      <c r="G54" s="251">
        <v>0.56196000000000002</v>
      </c>
      <c r="H54" s="250">
        <v>697875</v>
      </c>
      <c r="I54" s="256"/>
      <c r="J54" s="250">
        <v>1241858</v>
      </c>
      <c r="K54" s="251">
        <v>0.43936757882851329</v>
      </c>
      <c r="L54" s="250">
        <v>545632</v>
      </c>
      <c r="M54" s="237"/>
    </row>
    <row r="55" spans="1:13">
      <c r="A55" s="242">
        <f t="shared" si="0"/>
        <v>49</v>
      </c>
      <c r="B55" s="237"/>
      <c r="C55" s="248" t="s">
        <v>110</v>
      </c>
      <c r="D55" s="248" t="s">
        <v>108</v>
      </c>
      <c r="E55" s="260">
        <v>2000</v>
      </c>
      <c r="F55" s="250">
        <v>455057</v>
      </c>
      <c r="G55" s="251">
        <v>0.48829999999999996</v>
      </c>
      <c r="H55" s="250">
        <v>222204</v>
      </c>
      <c r="I55" s="256"/>
      <c r="J55" s="250">
        <v>455057</v>
      </c>
      <c r="K55" s="251">
        <v>3.9367578828513272E-2</v>
      </c>
      <c r="L55" s="250">
        <v>17914</v>
      </c>
      <c r="M55" s="237"/>
    </row>
    <row r="56" spans="1:13">
      <c r="A56" s="242">
        <f t="shared" si="0"/>
        <v>50</v>
      </c>
      <c r="B56" s="236" t="s">
        <v>104</v>
      </c>
      <c r="D56" s="248"/>
      <c r="E56" s="260"/>
      <c r="F56" s="279">
        <v>4852953</v>
      </c>
      <c r="G56" s="293"/>
      <c r="H56" s="279">
        <v>3047143</v>
      </c>
      <c r="I56" s="256"/>
      <c r="J56" s="279">
        <v>4852953</v>
      </c>
      <c r="K56" s="293"/>
      <c r="L56" s="279">
        <v>3199830.4335202239</v>
      </c>
      <c r="M56" s="237"/>
    </row>
    <row r="57" spans="1:13">
      <c r="A57" s="242">
        <f t="shared" si="0"/>
        <v>51</v>
      </c>
      <c r="B57" s="237"/>
      <c r="C57" s="248"/>
      <c r="D57" s="248"/>
      <c r="E57" s="260"/>
      <c r="F57" s="250"/>
      <c r="G57" s="265"/>
      <c r="H57" s="252"/>
      <c r="I57" s="256"/>
      <c r="J57" s="250"/>
      <c r="K57" s="265"/>
      <c r="L57" s="252"/>
      <c r="M57" s="237"/>
    </row>
    <row r="58" spans="1:13">
      <c r="A58" s="242">
        <f t="shared" si="0"/>
        <v>52</v>
      </c>
      <c r="B58" s="237"/>
      <c r="C58" s="248"/>
      <c r="D58" s="248"/>
      <c r="E58" s="260"/>
      <c r="F58" s="294"/>
      <c r="G58" s="265"/>
      <c r="H58" s="252"/>
      <c r="I58" s="256"/>
      <c r="J58" s="250"/>
      <c r="K58" s="265"/>
      <c r="L58" s="252"/>
      <c r="M58" s="237"/>
    </row>
    <row r="59" spans="1:13" ht="13.5" thickBot="1">
      <c r="A59" s="242">
        <f t="shared" si="0"/>
        <v>53</v>
      </c>
      <c r="B59" s="267" t="s">
        <v>348</v>
      </c>
      <c r="C59" s="268"/>
      <c r="D59" s="268"/>
      <c r="E59" s="269"/>
      <c r="F59" s="246" t="s">
        <v>349</v>
      </c>
      <c r="G59" s="246" t="s">
        <v>94</v>
      </c>
      <c r="H59" s="247" t="s">
        <v>95</v>
      </c>
      <c r="I59" s="237"/>
      <c r="J59" s="246" t="s">
        <v>349</v>
      </c>
      <c r="K59" s="246" t="s">
        <v>347</v>
      </c>
      <c r="L59" s="247" t="s">
        <v>95</v>
      </c>
      <c r="M59" s="237"/>
    </row>
    <row r="60" spans="1:13">
      <c r="A60" s="242">
        <f t="shared" si="0"/>
        <v>54</v>
      </c>
      <c r="B60" s="271" t="s">
        <v>152</v>
      </c>
      <c r="C60" s="248" t="s">
        <v>354</v>
      </c>
      <c r="D60" s="237"/>
      <c r="E60" s="238"/>
      <c r="F60" s="250">
        <v>144</v>
      </c>
      <c r="G60" s="275">
        <v>5</v>
      </c>
      <c r="H60" s="252">
        <v>720</v>
      </c>
      <c r="I60" s="237"/>
      <c r="J60" s="250">
        <v>180</v>
      </c>
      <c r="K60" s="275">
        <v>6.75</v>
      </c>
      <c r="L60" s="252">
        <v>1215</v>
      </c>
      <c r="M60" s="237"/>
    </row>
    <row r="61" spans="1:13">
      <c r="A61" s="242">
        <f t="shared" si="0"/>
        <v>55</v>
      </c>
      <c r="B61" s="271"/>
      <c r="C61" s="248" t="s">
        <v>355</v>
      </c>
      <c r="D61" s="237"/>
      <c r="E61" s="238"/>
      <c r="F61" s="250">
        <v>1164</v>
      </c>
      <c r="G61" s="275">
        <v>21</v>
      </c>
      <c r="H61" s="252">
        <v>24444</v>
      </c>
      <c r="I61" s="237"/>
      <c r="J61" s="250">
        <v>4620</v>
      </c>
      <c r="K61" s="275">
        <v>18.25</v>
      </c>
      <c r="L61" s="252">
        <v>84315</v>
      </c>
      <c r="M61" s="237"/>
    </row>
    <row r="62" spans="1:13">
      <c r="A62" s="242">
        <f t="shared" si="0"/>
        <v>56</v>
      </c>
      <c r="B62" s="237"/>
      <c r="C62" s="248" t="s">
        <v>356</v>
      </c>
      <c r="D62" s="237"/>
      <c r="E62" s="238"/>
      <c r="F62" s="250">
        <v>5820</v>
      </c>
      <c r="G62" s="275">
        <v>55</v>
      </c>
      <c r="H62" s="252">
        <v>320100</v>
      </c>
      <c r="I62" s="237"/>
      <c r="J62" s="250">
        <v>2052</v>
      </c>
      <c r="K62" s="275">
        <v>63.5</v>
      </c>
      <c r="L62" s="252">
        <v>130302</v>
      </c>
      <c r="M62" s="237"/>
    </row>
    <row r="63" spans="1:13">
      <c r="A63" s="242">
        <f t="shared" si="0"/>
        <v>57</v>
      </c>
      <c r="B63" s="237"/>
      <c r="C63" s="248" t="s">
        <v>357</v>
      </c>
      <c r="D63" s="237"/>
      <c r="E63" s="238"/>
      <c r="F63" s="250">
        <v>216</v>
      </c>
      <c r="G63" s="275">
        <v>244</v>
      </c>
      <c r="H63" s="252">
        <v>52704</v>
      </c>
      <c r="I63" s="237"/>
      <c r="J63" s="250">
        <v>492</v>
      </c>
      <c r="K63" s="275">
        <v>420.25</v>
      </c>
      <c r="L63" s="252">
        <v>206763</v>
      </c>
      <c r="M63" s="237"/>
    </row>
    <row r="64" spans="1:13">
      <c r="A64" s="242">
        <f t="shared" si="0"/>
        <v>58</v>
      </c>
      <c r="B64" s="237"/>
      <c r="C64" s="276" t="s">
        <v>358</v>
      </c>
      <c r="D64" s="237"/>
      <c r="E64" s="238"/>
      <c r="F64" s="250">
        <v>0</v>
      </c>
      <c r="G64" s="275">
        <v>0</v>
      </c>
      <c r="H64" s="252">
        <v>0</v>
      </c>
      <c r="I64" s="237"/>
      <c r="J64" s="250">
        <v>0</v>
      </c>
      <c r="K64" s="275">
        <v>0</v>
      </c>
      <c r="L64" s="252">
        <v>0</v>
      </c>
      <c r="M64" s="237"/>
    </row>
    <row r="65" spans="1:13">
      <c r="A65" s="242">
        <f t="shared" si="0"/>
        <v>59</v>
      </c>
      <c r="B65" s="285" t="s">
        <v>361</v>
      </c>
      <c r="C65" s="248"/>
      <c r="F65" s="279">
        <v>7344</v>
      </c>
      <c r="G65" s="293"/>
      <c r="H65" s="279">
        <v>397968</v>
      </c>
      <c r="I65" s="256"/>
      <c r="J65" s="279">
        <v>7344</v>
      </c>
      <c r="K65" s="282">
        <v>57.542892156862742</v>
      </c>
      <c r="L65" s="279">
        <v>422595</v>
      </c>
      <c r="M65" s="237"/>
    </row>
    <row r="66" spans="1:13" ht="13.5" thickBot="1">
      <c r="A66" s="242">
        <f t="shared" si="0"/>
        <v>60</v>
      </c>
      <c r="B66" s="237"/>
      <c r="C66" s="237"/>
      <c r="D66" s="237"/>
      <c r="E66" s="238"/>
      <c r="F66" s="283"/>
      <c r="G66" s="283"/>
      <c r="H66" s="286"/>
      <c r="I66" s="237"/>
      <c r="J66" s="283"/>
      <c r="K66" s="283"/>
      <c r="L66" s="286"/>
      <c r="M66" s="237"/>
    </row>
    <row r="67" spans="1:13" ht="13.5" thickTop="1">
      <c r="A67" s="242">
        <f t="shared" si="0"/>
        <v>61</v>
      </c>
      <c r="B67" s="237" t="s">
        <v>367</v>
      </c>
      <c r="C67" s="237"/>
      <c r="D67" s="237"/>
      <c r="E67" s="238"/>
      <c r="F67" s="283"/>
      <c r="G67" s="283"/>
      <c r="H67" s="287"/>
      <c r="I67" s="237"/>
      <c r="J67" s="283"/>
      <c r="K67" s="283"/>
      <c r="L67" s="287">
        <v>3622425.4335202239</v>
      </c>
      <c r="M67" s="237"/>
    </row>
    <row r="68" spans="1:13">
      <c r="A68" s="242">
        <f t="shared" si="0"/>
        <v>62</v>
      </c>
      <c r="B68" s="237" t="s">
        <v>363</v>
      </c>
      <c r="C68" s="237"/>
      <c r="D68" s="237"/>
      <c r="E68" s="238"/>
      <c r="F68" s="272"/>
      <c r="G68" s="272"/>
      <c r="H68" s="288"/>
      <c r="I68" s="237"/>
      <c r="J68" s="272"/>
      <c r="K68" s="272"/>
      <c r="L68" s="289">
        <v>84463.11376239582</v>
      </c>
      <c r="M68" s="237"/>
    </row>
    <row r="69" spans="1:13">
      <c r="A69" s="242">
        <f t="shared" si="0"/>
        <v>63</v>
      </c>
      <c r="B69" s="236" t="s">
        <v>368</v>
      </c>
      <c r="C69" s="237"/>
      <c r="D69" s="237"/>
      <c r="E69" s="238"/>
      <c r="F69" s="290"/>
      <c r="G69" s="237"/>
      <c r="H69" s="287">
        <v>3445111</v>
      </c>
      <c r="I69" s="290"/>
      <c r="J69" s="290"/>
      <c r="K69" s="237"/>
      <c r="L69" s="290">
        <v>3706888.5472826199</v>
      </c>
      <c r="M69" s="237"/>
    </row>
    <row r="70" spans="1:13" ht="13.5" thickBot="1">
      <c r="A70" s="242">
        <f t="shared" si="0"/>
        <v>64</v>
      </c>
      <c r="B70" s="268"/>
      <c r="C70" s="268"/>
      <c r="D70" s="268"/>
      <c r="E70" s="269"/>
      <c r="F70" s="284"/>
      <c r="G70" s="268"/>
      <c r="H70" s="284"/>
      <c r="I70" s="290"/>
      <c r="J70" s="284"/>
      <c r="K70" s="268"/>
      <c r="L70" s="284"/>
      <c r="M70" s="237"/>
    </row>
    <row r="71" spans="1:13">
      <c r="A71" s="242">
        <f t="shared" si="0"/>
        <v>65</v>
      </c>
      <c r="B71" s="272"/>
      <c r="C71" s="272"/>
      <c r="D71" s="272"/>
      <c r="E71" s="295"/>
      <c r="F71" s="272"/>
      <c r="G71" s="272"/>
      <c r="H71" s="252"/>
      <c r="I71" s="237"/>
      <c r="J71" s="272"/>
      <c r="K71" s="272"/>
      <c r="L71" s="272"/>
      <c r="M71" s="272"/>
    </row>
    <row r="72" spans="1:13">
      <c r="A72" s="242">
        <f t="shared" si="0"/>
        <v>66</v>
      </c>
      <c r="B72" s="236" t="s">
        <v>112</v>
      </c>
      <c r="C72" s="237"/>
      <c r="D72" s="237"/>
      <c r="E72" s="238"/>
      <c r="F72" s="239" t="s">
        <v>345</v>
      </c>
      <c r="G72" s="239"/>
      <c r="H72" s="239"/>
      <c r="I72" s="237"/>
      <c r="J72" s="357" t="s">
        <v>346</v>
      </c>
      <c r="K72" s="357"/>
      <c r="L72" s="357"/>
      <c r="M72" s="240"/>
    </row>
    <row r="73" spans="1:13" ht="13.5" thickBot="1">
      <c r="A73" s="242">
        <f t="shared" ref="A73:A136" si="1">A72+1</f>
        <v>67</v>
      </c>
      <c r="B73" s="243" t="s">
        <v>92</v>
      </c>
      <c r="C73" s="244"/>
      <c r="D73" s="244"/>
      <c r="E73" s="245" t="s">
        <v>93</v>
      </c>
      <c r="F73" s="246" t="s">
        <v>93</v>
      </c>
      <c r="G73" s="246" t="s">
        <v>94</v>
      </c>
      <c r="H73" s="247" t="s">
        <v>95</v>
      </c>
      <c r="I73" s="237"/>
      <c r="J73" s="246" t="s">
        <v>93</v>
      </c>
      <c r="K73" s="246" t="s">
        <v>347</v>
      </c>
      <c r="L73" s="247" t="s">
        <v>95</v>
      </c>
      <c r="M73" s="237"/>
    </row>
    <row r="74" spans="1:13">
      <c r="A74" s="242">
        <f t="shared" si="1"/>
        <v>68</v>
      </c>
      <c r="B74" s="248"/>
      <c r="C74" s="248" t="s">
        <v>99</v>
      </c>
      <c r="D74" s="248" t="s">
        <v>100</v>
      </c>
      <c r="E74" s="296">
        <v>2000</v>
      </c>
      <c r="F74" s="250">
        <v>1325274</v>
      </c>
      <c r="G74" s="251">
        <v>0.25119999999999998</v>
      </c>
      <c r="H74" s="250">
        <v>332909</v>
      </c>
      <c r="I74" s="256"/>
      <c r="J74" s="250">
        <v>1325274</v>
      </c>
      <c r="K74" s="251">
        <v>0.43527677520119029</v>
      </c>
      <c r="L74" s="250">
        <v>576861</v>
      </c>
      <c r="M74" s="237"/>
    </row>
    <row r="75" spans="1:13">
      <c r="A75" s="242">
        <f t="shared" si="1"/>
        <v>69</v>
      </c>
      <c r="C75" s="248" t="s">
        <v>101</v>
      </c>
      <c r="D75" s="248" t="s">
        <v>102</v>
      </c>
      <c r="E75" s="296">
        <v>18000</v>
      </c>
      <c r="F75" s="250">
        <v>1288947</v>
      </c>
      <c r="G75" s="251">
        <v>0.2311</v>
      </c>
      <c r="H75" s="250">
        <v>297876</v>
      </c>
      <c r="I75" s="256"/>
      <c r="J75" s="250">
        <v>1288947</v>
      </c>
      <c r="K75" s="251">
        <v>6.5726793055379734E-2</v>
      </c>
      <c r="L75" s="250">
        <v>84718</v>
      </c>
      <c r="M75" s="237"/>
    </row>
    <row r="76" spans="1:13">
      <c r="A76" s="242">
        <f t="shared" si="1"/>
        <v>70</v>
      </c>
      <c r="C76" s="248" t="s">
        <v>110</v>
      </c>
      <c r="D76" s="248" t="s">
        <v>108</v>
      </c>
      <c r="E76" s="296">
        <v>20000</v>
      </c>
      <c r="F76" s="250">
        <v>11626</v>
      </c>
      <c r="G76" s="251">
        <v>0.21261999999999998</v>
      </c>
      <c r="H76" s="250">
        <v>2472</v>
      </c>
      <c r="I76" s="256"/>
      <c r="J76" s="250">
        <v>11626</v>
      </c>
      <c r="K76" s="251">
        <v>3.869126890677247E-2</v>
      </c>
      <c r="L76" s="250">
        <v>450</v>
      </c>
      <c r="M76" s="237"/>
    </row>
    <row r="77" spans="1:13">
      <c r="A77" s="242">
        <f t="shared" si="1"/>
        <v>71</v>
      </c>
      <c r="B77" s="236" t="s">
        <v>104</v>
      </c>
      <c r="D77" s="248"/>
      <c r="E77" s="260"/>
      <c r="F77" s="279">
        <v>2625847</v>
      </c>
      <c r="G77" s="293"/>
      <c r="H77" s="279">
        <v>633257</v>
      </c>
      <c r="I77" s="256"/>
      <c r="J77" s="279">
        <v>2625847</v>
      </c>
      <c r="K77" s="293"/>
      <c r="L77" s="279">
        <v>662028.89119277569</v>
      </c>
      <c r="M77" s="237"/>
    </row>
    <row r="78" spans="1:13">
      <c r="A78" s="242">
        <f t="shared" si="1"/>
        <v>72</v>
      </c>
      <c r="B78" s="237"/>
      <c r="C78" s="248"/>
      <c r="D78" s="248"/>
      <c r="E78" s="260"/>
      <c r="F78" s="250"/>
      <c r="G78" s="265"/>
      <c r="H78" s="252"/>
      <c r="I78" s="256"/>
      <c r="J78" s="250"/>
      <c r="K78" s="265"/>
      <c r="L78" s="252"/>
      <c r="M78" s="237"/>
    </row>
    <row r="79" spans="1:13">
      <c r="A79" s="242">
        <f t="shared" si="1"/>
        <v>73</v>
      </c>
      <c r="B79" s="237"/>
      <c r="C79" s="248"/>
      <c r="D79" s="248"/>
      <c r="E79" s="260"/>
      <c r="F79" s="294" t="s">
        <v>369</v>
      </c>
      <c r="G79" s="265"/>
      <c r="H79" s="252"/>
      <c r="I79" s="256"/>
      <c r="J79" s="294" t="s">
        <v>369</v>
      </c>
      <c r="K79" s="265"/>
      <c r="L79" s="252"/>
      <c r="M79" s="237"/>
    </row>
    <row r="80" spans="1:13" ht="13.5" thickBot="1">
      <c r="A80" s="242">
        <f t="shared" si="1"/>
        <v>74</v>
      </c>
      <c r="B80" s="267" t="s">
        <v>348</v>
      </c>
      <c r="C80" s="268"/>
      <c r="D80" s="268"/>
      <c r="E80" s="269"/>
      <c r="F80" s="246" t="s">
        <v>349</v>
      </c>
      <c r="G80" s="246" t="s">
        <v>94</v>
      </c>
      <c r="H80" s="247" t="s">
        <v>95</v>
      </c>
      <c r="I80" s="237"/>
      <c r="J80" s="246" t="s">
        <v>349</v>
      </c>
      <c r="K80" s="246" t="s">
        <v>347</v>
      </c>
      <c r="L80" s="247" t="s">
        <v>95</v>
      </c>
      <c r="M80" s="237"/>
    </row>
    <row r="81" spans="1:14">
      <c r="A81" s="242">
        <f t="shared" si="1"/>
        <v>75</v>
      </c>
      <c r="B81" s="271" t="s">
        <v>152</v>
      </c>
      <c r="C81" s="248" t="s">
        <v>354</v>
      </c>
      <c r="D81" s="237"/>
      <c r="E81" s="238"/>
      <c r="F81" s="250">
        <v>12</v>
      </c>
      <c r="G81" s="275">
        <v>5</v>
      </c>
      <c r="H81" s="252">
        <v>60</v>
      </c>
      <c r="I81" s="237"/>
      <c r="J81" s="250">
        <v>12</v>
      </c>
      <c r="K81" s="275">
        <v>6.75</v>
      </c>
      <c r="L81" s="252">
        <v>81</v>
      </c>
      <c r="M81" s="237"/>
    </row>
    <row r="82" spans="1:14">
      <c r="A82" s="242">
        <f t="shared" si="1"/>
        <v>76</v>
      </c>
      <c r="B82" s="271"/>
      <c r="C82" s="248" t="s">
        <v>355</v>
      </c>
      <c r="D82" s="237"/>
      <c r="E82" s="238"/>
      <c r="F82" s="250">
        <v>24</v>
      </c>
      <c r="G82" s="275">
        <v>29</v>
      </c>
      <c r="H82" s="252">
        <v>696</v>
      </c>
      <c r="I82" s="237"/>
      <c r="J82" s="250">
        <v>228</v>
      </c>
      <c r="K82" s="275">
        <v>18.25</v>
      </c>
      <c r="L82" s="252">
        <v>4161</v>
      </c>
      <c r="M82" s="237"/>
    </row>
    <row r="83" spans="1:14">
      <c r="A83" s="242">
        <f t="shared" si="1"/>
        <v>77</v>
      </c>
      <c r="B83" s="237"/>
      <c r="C83" s="248" t="s">
        <v>356</v>
      </c>
      <c r="D83" s="237"/>
      <c r="E83" s="238"/>
      <c r="F83" s="250">
        <v>804</v>
      </c>
      <c r="G83" s="275">
        <v>67</v>
      </c>
      <c r="H83" s="252">
        <v>53868</v>
      </c>
      <c r="I83" s="237"/>
      <c r="J83" s="250">
        <v>456</v>
      </c>
      <c r="K83" s="275">
        <v>63.5</v>
      </c>
      <c r="L83" s="252">
        <v>28956</v>
      </c>
      <c r="M83" s="237"/>
    </row>
    <row r="84" spans="1:14">
      <c r="A84" s="242">
        <f t="shared" si="1"/>
        <v>78</v>
      </c>
      <c r="B84" s="237"/>
      <c r="C84" s="248" t="s">
        <v>357</v>
      </c>
      <c r="D84" s="237"/>
      <c r="E84" s="238"/>
      <c r="F84" s="250">
        <v>432</v>
      </c>
      <c r="G84" s="275">
        <v>274</v>
      </c>
      <c r="H84" s="252">
        <v>118368</v>
      </c>
      <c r="I84" s="237"/>
      <c r="J84" s="250">
        <v>576</v>
      </c>
      <c r="K84" s="275">
        <v>420.25</v>
      </c>
      <c r="L84" s="252">
        <v>242064</v>
      </c>
      <c r="M84" s="237"/>
    </row>
    <row r="85" spans="1:14">
      <c r="A85" s="242">
        <f t="shared" si="1"/>
        <v>79</v>
      </c>
      <c r="B85" s="237"/>
      <c r="C85" s="276" t="s">
        <v>358</v>
      </c>
      <c r="D85" s="237"/>
      <c r="E85" s="238"/>
      <c r="F85" s="250">
        <v>0</v>
      </c>
      <c r="G85" s="275">
        <v>0</v>
      </c>
      <c r="H85" s="252">
        <v>0</v>
      </c>
      <c r="I85" s="237"/>
      <c r="J85" s="250">
        <v>0</v>
      </c>
      <c r="K85" s="275">
        <v>0</v>
      </c>
      <c r="L85" s="252">
        <v>0</v>
      </c>
      <c r="M85" s="237"/>
    </row>
    <row r="86" spans="1:14">
      <c r="A86" s="242">
        <f t="shared" si="1"/>
        <v>80</v>
      </c>
      <c r="B86" s="285" t="s">
        <v>361</v>
      </c>
      <c r="C86" s="248"/>
      <c r="F86" s="279">
        <v>1272</v>
      </c>
      <c r="G86" s="293"/>
      <c r="H86" s="279">
        <v>172932</v>
      </c>
      <c r="I86" s="256"/>
      <c r="J86" s="279">
        <v>1272</v>
      </c>
      <c r="K86" s="282">
        <v>216.40094339622641</v>
      </c>
      <c r="L86" s="279">
        <v>275262</v>
      </c>
      <c r="M86" s="237"/>
    </row>
    <row r="87" spans="1:14" ht="13.5" thickBot="1">
      <c r="A87" s="242">
        <f t="shared" si="1"/>
        <v>81</v>
      </c>
      <c r="B87" s="237"/>
      <c r="C87" s="237"/>
      <c r="D87" s="237"/>
      <c r="E87" s="238"/>
      <c r="F87" s="283"/>
      <c r="G87" s="283"/>
      <c r="H87" s="286"/>
      <c r="I87" s="237"/>
      <c r="J87" s="283"/>
      <c r="K87" s="283"/>
      <c r="L87" s="286"/>
      <c r="M87" s="237"/>
    </row>
    <row r="88" spans="1:14" ht="13.5" thickTop="1">
      <c r="A88" s="242">
        <f t="shared" si="1"/>
        <v>82</v>
      </c>
      <c r="B88" s="237" t="s">
        <v>370</v>
      </c>
      <c r="C88" s="237"/>
      <c r="D88" s="237"/>
      <c r="E88" s="238"/>
      <c r="F88" s="283"/>
      <c r="G88" s="283"/>
      <c r="H88" s="287"/>
      <c r="I88" s="237"/>
      <c r="J88" s="283"/>
      <c r="K88" s="283"/>
      <c r="L88" s="287">
        <v>937290.89119277569</v>
      </c>
      <c r="M88" s="237"/>
    </row>
    <row r="89" spans="1:14">
      <c r="A89" s="242">
        <f t="shared" si="1"/>
        <v>83</v>
      </c>
      <c r="B89" s="237" t="s">
        <v>363</v>
      </c>
      <c r="C89" s="237"/>
      <c r="D89" s="237"/>
      <c r="E89" s="238"/>
      <c r="F89" s="272"/>
      <c r="G89" s="272"/>
      <c r="H89" s="288"/>
      <c r="I89" s="237"/>
      <c r="J89" s="272"/>
      <c r="K89" s="272"/>
      <c r="L89" s="289">
        <v>18210.23006331121</v>
      </c>
      <c r="M89" s="237"/>
    </row>
    <row r="90" spans="1:14">
      <c r="A90" s="242">
        <f t="shared" si="1"/>
        <v>84</v>
      </c>
      <c r="B90" s="236" t="s">
        <v>371</v>
      </c>
      <c r="C90" s="237"/>
      <c r="D90" s="237"/>
      <c r="E90" s="238"/>
      <c r="F90" s="290"/>
      <c r="G90" s="237"/>
      <c r="H90" s="287">
        <v>806189</v>
      </c>
      <c r="I90" s="290"/>
      <c r="J90" s="290"/>
      <c r="K90" s="237"/>
      <c r="L90" s="290">
        <v>955501.12125608686</v>
      </c>
      <c r="M90" s="237"/>
    </row>
    <row r="91" spans="1:14" ht="13.5" thickBot="1">
      <c r="A91" s="242">
        <f t="shared" si="1"/>
        <v>85</v>
      </c>
      <c r="B91" s="268"/>
      <c r="C91" s="268"/>
      <c r="D91" s="268"/>
      <c r="E91" s="269"/>
      <c r="F91" s="284"/>
      <c r="G91" s="268"/>
      <c r="H91" s="284"/>
      <c r="I91" s="290"/>
      <c r="J91" s="284"/>
      <c r="K91" s="268"/>
      <c r="L91" s="284"/>
      <c r="M91" s="237"/>
    </row>
    <row r="92" spans="1:14">
      <c r="A92" s="242">
        <f t="shared" si="1"/>
        <v>86</v>
      </c>
      <c r="B92" s="298"/>
      <c r="C92" s="299"/>
      <c r="D92" s="299"/>
      <c r="E92" s="300"/>
      <c r="F92" s="272"/>
      <c r="G92" s="272"/>
      <c r="H92" s="272"/>
      <c r="I92" s="237"/>
      <c r="J92" s="301"/>
      <c r="K92" s="272"/>
      <c r="L92" s="272"/>
      <c r="M92" s="237"/>
    </row>
    <row r="93" spans="1:14">
      <c r="A93" s="242">
        <f t="shared" si="1"/>
        <v>87</v>
      </c>
      <c r="B93" s="236" t="s">
        <v>113</v>
      </c>
      <c r="C93" s="237"/>
      <c r="D93" s="237"/>
      <c r="E93" s="238"/>
      <c r="F93" s="239" t="s">
        <v>345</v>
      </c>
      <c r="G93" s="239"/>
      <c r="H93" s="239"/>
      <c r="I93" s="237"/>
      <c r="J93" s="357" t="s">
        <v>346</v>
      </c>
      <c r="K93" s="357"/>
      <c r="L93" s="357"/>
      <c r="M93" s="240"/>
      <c r="N93" s="292"/>
    </row>
    <row r="94" spans="1:14" ht="13.5" thickBot="1">
      <c r="A94" s="242">
        <f t="shared" si="1"/>
        <v>88</v>
      </c>
      <c r="B94" s="243" t="s">
        <v>92</v>
      </c>
      <c r="C94" s="244"/>
      <c r="D94" s="244"/>
      <c r="E94" s="245" t="s">
        <v>93</v>
      </c>
      <c r="F94" s="246" t="s">
        <v>93</v>
      </c>
      <c r="G94" s="246" t="s">
        <v>94</v>
      </c>
      <c r="H94" s="247" t="s">
        <v>95</v>
      </c>
      <c r="I94" s="237"/>
      <c r="J94" s="246" t="s">
        <v>93</v>
      </c>
      <c r="K94" s="246" t="s">
        <v>347</v>
      </c>
      <c r="L94" s="247" t="s">
        <v>95</v>
      </c>
      <c r="M94" s="237"/>
      <c r="N94" s="292"/>
    </row>
    <row r="95" spans="1:14">
      <c r="A95" s="242">
        <f t="shared" si="1"/>
        <v>89</v>
      </c>
      <c r="B95" s="248"/>
      <c r="C95" s="248" t="s">
        <v>99</v>
      </c>
      <c r="D95" s="248" t="s">
        <v>100</v>
      </c>
      <c r="E95" s="260">
        <v>10000</v>
      </c>
      <c r="F95" s="250">
        <v>560000</v>
      </c>
      <c r="G95" s="251">
        <v>0.24747</v>
      </c>
      <c r="H95" s="250">
        <v>138583</v>
      </c>
      <c r="J95" s="250">
        <v>560000</v>
      </c>
      <c r="K95" s="251">
        <v>0.23672793618067264</v>
      </c>
      <c r="L95" s="250">
        <v>132568</v>
      </c>
      <c r="M95" s="237"/>
      <c r="N95" s="292"/>
    </row>
    <row r="96" spans="1:14">
      <c r="A96" s="242">
        <f t="shared" si="1"/>
        <v>90</v>
      </c>
      <c r="C96" s="248" t="s">
        <v>101</v>
      </c>
      <c r="D96" s="248" t="s">
        <v>102</v>
      </c>
      <c r="E96" s="260">
        <v>112500</v>
      </c>
      <c r="F96" s="250">
        <v>3547041</v>
      </c>
      <c r="G96" s="251">
        <v>0.22950999999999999</v>
      </c>
      <c r="H96" s="250">
        <v>814081</v>
      </c>
      <c r="I96" s="256"/>
      <c r="J96" s="250">
        <v>3547041</v>
      </c>
      <c r="K96" s="251">
        <v>0.22185238075650751</v>
      </c>
      <c r="L96" s="250">
        <v>786919</v>
      </c>
      <c r="M96" s="237"/>
      <c r="N96" s="292"/>
    </row>
    <row r="97" spans="1:14">
      <c r="A97" s="242">
        <f t="shared" si="1"/>
        <v>91</v>
      </c>
      <c r="C97" s="248" t="s">
        <v>110</v>
      </c>
      <c r="D97" s="248" t="s">
        <v>102</v>
      </c>
      <c r="E97" s="260">
        <v>477500</v>
      </c>
      <c r="F97" s="250">
        <v>2489615</v>
      </c>
      <c r="G97" s="251">
        <v>0.15261</v>
      </c>
      <c r="H97" s="250">
        <v>379940</v>
      </c>
      <c r="I97" s="256"/>
      <c r="J97" s="250">
        <v>2489615</v>
      </c>
      <c r="K97" s="251">
        <v>0.15573880109355129</v>
      </c>
      <c r="L97" s="250">
        <v>387730</v>
      </c>
      <c r="M97" s="237"/>
      <c r="N97" s="292"/>
    </row>
    <row r="98" spans="1:14">
      <c r="A98" s="242">
        <f t="shared" si="1"/>
        <v>92</v>
      </c>
      <c r="C98" s="248" t="s">
        <v>114</v>
      </c>
      <c r="D98" s="248" t="s">
        <v>108</v>
      </c>
      <c r="E98" s="260">
        <v>600000</v>
      </c>
      <c r="F98" s="250">
        <v>0</v>
      </c>
      <c r="G98" s="251">
        <v>2.8029999999999999E-2</v>
      </c>
      <c r="H98" s="250">
        <v>0</v>
      </c>
      <c r="I98" s="256"/>
      <c r="J98" s="250">
        <v>0</v>
      </c>
      <c r="K98" s="251">
        <v>3.1775839225508334E-2</v>
      </c>
      <c r="L98" s="250">
        <v>0</v>
      </c>
      <c r="M98" s="237"/>
      <c r="N98" s="292"/>
    </row>
    <row r="99" spans="1:14">
      <c r="A99" s="242">
        <f t="shared" si="1"/>
        <v>93</v>
      </c>
      <c r="B99" s="236" t="s">
        <v>104</v>
      </c>
      <c r="D99" s="248"/>
      <c r="E99" s="260"/>
      <c r="F99" s="279">
        <v>6596656</v>
      </c>
      <c r="G99" s="293"/>
      <c r="H99" s="279">
        <v>1332604</v>
      </c>
      <c r="I99" s="256"/>
      <c r="J99" s="279">
        <v>6596656</v>
      </c>
      <c r="K99" s="293"/>
      <c r="L99" s="279">
        <v>1307225.7953673273</v>
      </c>
      <c r="M99" s="237"/>
      <c r="N99" s="292"/>
    </row>
    <row r="100" spans="1:14">
      <c r="A100" s="242">
        <f t="shared" si="1"/>
        <v>94</v>
      </c>
      <c r="B100" s="237"/>
      <c r="C100" s="248"/>
      <c r="D100" s="248"/>
      <c r="E100" s="260"/>
      <c r="F100" s="250"/>
      <c r="G100" s="265"/>
      <c r="H100" s="252"/>
      <c r="I100" s="256"/>
      <c r="J100" s="250"/>
      <c r="K100" s="265"/>
      <c r="L100" s="252"/>
      <c r="M100" s="237"/>
      <c r="N100" s="292"/>
    </row>
    <row r="101" spans="1:14">
      <c r="A101" s="242">
        <f t="shared" si="1"/>
        <v>95</v>
      </c>
      <c r="B101" s="237"/>
      <c r="C101" s="248"/>
      <c r="D101" s="248"/>
      <c r="E101" s="260"/>
      <c r="F101" s="294" t="s">
        <v>369</v>
      </c>
      <c r="G101" s="265"/>
      <c r="H101" s="252"/>
      <c r="I101" s="256"/>
      <c r="J101" s="294" t="s">
        <v>369</v>
      </c>
      <c r="K101" s="265"/>
      <c r="L101" s="252"/>
      <c r="M101" s="237"/>
      <c r="N101" s="292"/>
    </row>
    <row r="102" spans="1:14" ht="13.5" thickBot="1">
      <c r="A102" s="242">
        <f t="shared" si="1"/>
        <v>96</v>
      </c>
      <c r="B102" s="267" t="s">
        <v>348</v>
      </c>
      <c r="C102" s="268"/>
      <c r="D102" s="268"/>
      <c r="E102" s="269"/>
      <c r="F102" s="246" t="s">
        <v>349</v>
      </c>
      <c r="G102" s="246" t="s">
        <v>94</v>
      </c>
      <c r="H102" s="247" t="s">
        <v>95</v>
      </c>
      <c r="I102" s="237"/>
      <c r="J102" s="246" t="s">
        <v>349</v>
      </c>
      <c r="K102" s="246" t="s">
        <v>347</v>
      </c>
      <c r="L102" s="247" t="s">
        <v>95</v>
      </c>
      <c r="M102" s="237"/>
      <c r="N102" s="292"/>
    </row>
    <row r="103" spans="1:14">
      <c r="A103" s="242">
        <f t="shared" si="1"/>
        <v>97</v>
      </c>
      <c r="B103" s="271" t="s">
        <v>372</v>
      </c>
      <c r="C103" s="237"/>
      <c r="D103" s="248" t="s">
        <v>373</v>
      </c>
      <c r="E103" s="238"/>
      <c r="F103" s="250">
        <v>36</v>
      </c>
      <c r="G103" s="303">
        <v>375</v>
      </c>
      <c r="H103" s="250">
        <v>13500</v>
      </c>
      <c r="I103" s="237"/>
      <c r="J103" s="250">
        <v>36</v>
      </c>
      <c r="K103" s="303">
        <v>375</v>
      </c>
      <c r="L103" s="250">
        <v>13500</v>
      </c>
      <c r="M103" s="237"/>
      <c r="N103" s="292"/>
    </row>
    <row r="104" spans="1:14">
      <c r="A104" s="242">
        <f t="shared" si="1"/>
        <v>98</v>
      </c>
      <c r="B104" s="304"/>
      <c r="C104" s="237"/>
      <c r="D104" s="248" t="s">
        <v>374</v>
      </c>
      <c r="E104" s="238"/>
      <c r="F104" s="250">
        <v>24</v>
      </c>
      <c r="G104" s="303">
        <v>187.5</v>
      </c>
      <c r="H104" s="252">
        <v>4500</v>
      </c>
      <c r="I104" s="237"/>
      <c r="J104" s="250">
        <v>24</v>
      </c>
      <c r="K104" s="303">
        <v>187.5</v>
      </c>
      <c r="L104" s="250">
        <v>4500</v>
      </c>
      <c r="M104" s="237"/>
      <c r="N104" s="292"/>
    </row>
    <row r="105" spans="1:14">
      <c r="A105" s="242">
        <f t="shared" si="1"/>
        <v>99</v>
      </c>
      <c r="B105" s="304"/>
      <c r="C105" s="237"/>
      <c r="D105" s="248"/>
      <c r="E105" s="238"/>
      <c r="F105" s="279">
        <v>60</v>
      </c>
      <c r="G105" s="293"/>
      <c r="H105" s="279">
        <v>18000</v>
      </c>
      <c r="I105" s="256"/>
      <c r="J105" s="279">
        <v>60</v>
      </c>
      <c r="K105" s="293"/>
      <c r="L105" s="279">
        <v>18000</v>
      </c>
      <c r="M105" s="237"/>
      <c r="N105" s="292"/>
    </row>
    <row r="106" spans="1:14">
      <c r="A106" s="242">
        <f t="shared" si="1"/>
        <v>100</v>
      </c>
      <c r="B106" s="304"/>
      <c r="C106" s="237"/>
      <c r="D106" s="237"/>
      <c r="E106" s="238"/>
      <c r="F106" s="241"/>
      <c r="G106" s="270"/>
      <c r="H106" s="270"/>
      <c r="I106" s="237"/>
      <c r="J106" s="241"/>
      <c r="K106" s="270"/>
      <c r="L106" s="270"/>
      <c r="M106" s="237"/>
      <c r="N106" s="292"/>
    </row>
    <row r="107" spans="1:14">
      <c r="A107" s="242">
        <f t="shared" si="1"/>
        <v>101</v>
      </c>
      <c r="B107" s="271" t="s">
        <v>152</v>
      </c>
      <c r="C107" s="248" t="s">
        <v>354</v>
      </c>
      <c r="D107" s="237"/>
      <c r="E107" s="238"/>
      <c r="F107" s="250">
        <v>0</v>
      </c>
      <c r="G107" s="275">
        <v>5</v>
      </c>
      <c r="H107" s="252">
        <v>0</v>
      </c>
      <c r="I107" s="237"/>
      <c r="J107" s="250">
        <v>0</v>
      </c>
      <c r="K107" s="275">
        <v>6.75</v>
      </c>
      <c r="L107" s="252">
        <v>0</v>
      </c>
      <c r="M107" s="237"/>
      <c r="N107" s="292"/>
    </row>
    <row r="108" spans="1:14">
      <c r="A108" s="242">
        <f t="shared" si="1"/>
        <v>102</v>
      </c>
      <c r="B108" s="271"/>
      <c r="C108" s="248" t="s">
        <v>355</v>
      </c>
      <c r="D108" s="237"/>
      <c r="E108" s="238"/>
      <c r="F108" s="250">
        <v>0</v>
      </c>
      <c r="G108" s="275">
        <v>21</v>
      </c>
      <c r="H108" s="252">
        <v>0</v>
      </c>
      <c r="I108" s="237"/>
      <c r="J108" s="250">
        <v>0</v>
      </c>
      <c r="K108" s="275">
        <v>18.25</v>
      </c>
      <c r="L108" s="252">
        <v>0</v>
      </c>
      <c r="M108" s="237"/>
      <c r="N108" s="292"/>
    </row>
    <row r="109" spans="1:14">
      <c r="A109" s="242">
        <f t="shared" si="1"/>
        <v>103</v>
      </c>
      <c r="B109" s="237"/>
      <c r="C109" s="248" t="s">
        <v>356</v>
      </c>
      <c r="D109" s="237"/>
      <c r="E109" s="238"/>
      <c r="F109" s="250">
        <v>12</v>
      </c>
      <c r="G109" s="275">
        <v>55</v>
      </c>
      <c r="H109" s="252">
        <v>660</v>
      </c>
      <c r="I109" s="237"/>
      <c r="J109" s="250">
        <v>12</v>
      </c>
      <c r="K109" s="275">
        <v>63.5</v>
      </c>
      <c r="L109" s="252">
        <v>762</v>
      </c>
      <c r="M109" s="237"/>
      <c r="N109" s="292"/>
    </row>
    <row r="110" spans="1:14">
      <c r="A110" s="242">
        <f t="shared" si="1"/>
        <v>104</v>
      </c>
      <c r="B110" s="237"/>
      <c r="C110" s="248" t="s">
        <v>357</v>
      </c>
      <c r="D110" s="237"/>
      <c r="E110" s="238"/>
      <c r="F110" s="250">
        <v>108</v>
      </c>
      <c r="G110" s="275">
        <v>244</v>
      </c>
      <c r="H110" s="252">
        <v>26352</v>
      </c>
      <c r="I110" s="237"/>
      <c r="J110" s="250">
        <v>108</v>
      </c>
      <c r="K110" s="275">
        <v>420.25</v>
      </c>
      <c r="L110" s="252">
        <v>45387</v>
      </c>
      <c r="M110" s="237"/>
      <c r="N110" s="292"/>
    </row>
    <row r="111" spans="1:14">
      <c r="A111" s="242">
        <f t="shared" si="1"/>
        <v>105</v>
      </c>
      <c r="B111" s="237"/>
      <c r="C111" s="276" t="s">
        <v>358</v>
      </c>
      <c r="D111" s="242"/>
      <c r="E111" s="242"/>
      <c r="F111" s="250">
        <v>0</v>
      </c>
      <c r="G111" s="275">
        <v>0</v>
      </c>
      <c r="H111" s="252">
        <v>0</v>
      </c>
      <c r="I111" s="242"/>
      <c r="J111" s="250">
        <v>0</v>
      </c>
      <c r="K111" s="275">
        <v>0</v>
      </c>
      <c r="L111" s="252">
        <v>0</v>
      </c>
      <c r="M111" s="237"/>
      <c r="N111" s="292"/>
    </row>
    <row r="112" spans="1:14">
      <c r="A112" s="242">
        <f t="shared" si="1"/>
        <v>106</v>
      </c>
      <c r="B112" s="237"/>
      <c r="C112" s="237"/>
      <c r="D112" s="237"/>
      <c r="E112" s="238"/>
      <c r="F112" s="279">
        <v>120</v>
      </c>
      <c r="G112" s="293"/>
      <c r="H112" s="279">
        <v>27012</v>
      </c>
      <c r="I112" s="256"/>
      <c r="J112" s="279">
        <v>120</v>
      </c>
      <c r="K112" s="293"/>
      <c r="L112" s="279">
        <v>46149</v>
      </c>
      <c r="M112" s="237"/>
    </row>
    <row r="113" spans="1:14">
      <c r="A113" s="242">
        <f t="shared" si="1"/>
        <v>107</v>
      </c>
      <c r="B113" s="237"/>
      <c r="C113" s="237"/>
      <c r="D113" s="237"/>
      <c r="E113" s="238"/>
      <c r="F113" s="297"/>
      <c r="G113" s="266"/>
      <c r="H113" s="297"/>
      <c r="I113" s="256"/>
      <c r="J113" s="297"/>
      <c r="K113" s="266"/>
      <c r="L113" s="297"/>
      <c r="M113" s="237"/>
    </row>
    <row r="114" spans="1:14" ht="13.5" thickBot="1">
      <c r="A114" s="242">
        <f t="shared" si="1"/>
        <v>108</v>
      </c>
      <c r="B114" s="271" t="s">
        <v>116</v>
      </c>
      <c r="C114" s="237"/>
      <c r="D114" s="237"/>
      <c r="E114" s="238"/>
      <c r="F114" s="246" t="s">
        <v>375</v>
      </c>
      <c r="G114" s="246" t="s">
        <v>97</v>
      </c>
      <c r="H114" s="306"/>
      <c r="I114" s="256"/>
      <c r="J114" s="246" t="s">
        <v>375</v>
      </c>
      <c r="K114" s="246" t="s">
        <v>97</v>
      </c>
      <c r="L114" s="306"/>
      <c r="M114" s="237"/>
    </row>
    <row r="115" spans="1:14">
      <c r="A115" s="242">
        <f t="shared" si="1"/>
        <v>109</v>
      </c>
      <c r="B115" s="271" t="s">
        <v>117</v>
      </c>
      <c r="C115" s="237"/>
      <c r="D115" s="237"/>
      <c r="E115" s="238"/>
      <c r="F115" s="250">
        <v>33246</v>
      </c>
      <c r="G115" s="305">
        <v>0</v>
      </c>
      <c r="H115" s="297">
        <v>0</v>
      </c>
      <c r="I115" s="256"/>
      <c r="J115" s="250">
        <v>33246</v>
      </c>
      <c r="K115" s="305">
        <v>12.903883962806368</v>
      </c>
      <c r="L115" s="297">
        <v>429002.52622746053</v>
      </c>
      <c r="M115" s="237"/>
    </row>
    <row r="116" spans="1:14">
      <c r="A116" s="242">
        <f t="shared" si="1"/>
        <v>110</v>
      </c>
      <c r="B116" s="237"/>
      <c r="C116" s="237"/>
      <c r="D116" s="237"/>
      <c r="E116" s="238"/>
      <c r="F116" s="250"/>
      <c r="G116" s="307"/>
      <c r="H116" s="252"/>
      <c r="I116" s="237"/>
      <c r="J116" s="252"/>
      <c r="K116" s="307"/>
      <c r="L116" s="252"/>
      <c r="M116" s="237"/>
    </row>
    <row r="117" spans="1:14">
      <c r="A117" s="242">
        <f t="shared" si="1"/>
        <v>111</v>
      </c>
      <c r="B117" s="285" t="s">
        <v>361</v>
      </c>
      <c r="C117" s="248"/>
      <c r="F117" s="279"/>
      <c r="G117" s="293"/>
      <c r="H117" s="279">
        <v>45012</v>
      </c>
      <c r="I117" s="256"/>
      <c r="J117" s="279"/>
      <c r="K117" s="293"/>
      <c r="L117" s="279">
        <v>493151.52622746053</v>
      </c>
      <c r="M117" s="237"/>
    </row>
    <row r="118" spans="1:14" ht="13.5" thickBot="1">
      <c r="A118" s="242">
        <f t="shared" si="1"/>
        <v>112</v>
      </c>
      <c r="B118" s="237"/>
      <c r="C118" s="237"/>
      <c r="D118" s="237"/>
      <c r="E118" s="238"/>
      <c r="F118" s="283"/>
      <c r="G118" s="283"/>
      <c r="H118" s="286"/>
      <c r="I118" s="237"/>
      <c r="J118" s="283"/>
      <c r="K118" s="283"/>
      <c r="L118" s="286"/>
      <c r="M118" s="237"/>
    </row>
    <row r="119" spans="1:14" ht="13.5" thickTop="1">
      <c r="A119" s="242">
        <f t="shared" si="1"/>
        <v>113</v>
      </c>
      <c r="B119" s="237"/>
      <c r="C119" s="237"/>
      <c r="D119" s="237"/>
      <c r="E119" s="238"/>
      <c r="F119" s="272"/>
      <c r="G119" s="272"/>
      <c r="H119" s="288"/>
      <c r="I119" s="237"/>
      <c r="J119" s="272"/>
      <c r="K119" s="272"/>
      <c r="L119" s="288"/>
      <c r="M119" s="237"/>
    </row>
    <row r="120" spans="1:14">
      <c r="A120" s="242">
        <f t="shared" si="1"/>
        <v>114</v>
      </c>
      <c r="B120" s="236" t="s">
        <v>376</v>
      </c>
      <c r="C120" s="237"/>
      <c r="D120" s="237"/>
      <c r="E120" s="238"/>
      <c r="F120" s="290"/>
      <c r="G120" s="237"/>
      <c r="H120" s="287">
        <v>1377616</v>
      </c>
      <c r="I120" s="290"/>
      <c r="J120" s="290"/>
      <c r="K120" s="237"/>
      <c r="L120" s="287">
        <v>1800377.3215947878</v>
      </c>
      <c r="M120" s="237"/>
    </row>
    <row r="121" spans="1:14">
      <c r="A121" s="242">
        <f t="shared" si="1"/>
        <v>115</v>
      </c>
      <c r="B121" s="308" t="s">
        <v>377</v>
      </c>
      <c r="C121" s="237"/>
      <c r="D121" s="237"/>
      <c r="E121" s="238"/>
      <c r="F121" s="250">
        <v>36728215</v>
      </c>
      <c r="G121" s="237"/>
      <c r="H121" s="250">
        <v>3155877</v>
      </c>
      <c r="I121" s="290"/>
      <c r="J121" s="250">
        <v>36728215</v>
      </c>
      <c r="K121" s="237"/>
      <c r="L121" s="287">
        <v>3155877.0000000005</v>
      </c>
      <c r="M121" s="237"/>
    </row>
    <row r="122" spans="1:14">
      <c r="A122" s="242">
        <f t="shared" si="1"/>
        <v>116</v>
      </c>
      <c r="B122" s="308" t="s">
        <v>378</v>
      </c>
      <c r="C122" s="237"/>
      <c r="D122" s="237"/>
      <c r="E122" s="238"/>
      <c r="F122" s="290"/>
      <c r="G122" s="237"/>
      <c r="H122" s="287">
        <v>4533493</v>
      </c>
      <c r="I122" s="290"/>
      <c r="J122" s="290"/>
      <c r="K122" s="237"/>
      <c r="L122" s="287">
        <v>4956254.3215947878</v>
      </c>
      <c r="M122" s="237"/>
    </row>
    <row r="123" spans="1:14">
      <c r="A123" s="242">
        <f t="shared" si="1"/>
        <v>117</v>
      </c>
      <c r="B123" s="308" t="s">
        <v>379</v>
      </c>
      <c r="C123" s="237"/>
      <c r="D123" s="237"/>
      <c r="E123" s="238"/>
      <c r="F123" s="290"/>
      <c r="G123" s="237"/>
      <c r="H123" s="287"/>
      <c r="I123" s="290"/>
      <c r="J123" s="290"/>
      <c r="K123" s="237"/>
      <c r="L123" s="287">
        <v>1800377.3215947878</v>
      </c>
      <c r="M123" s="237"/>
    </row>
    <row r="124" spans="1:14">
      <c r="A124" s="242">
        <f t="shared" si="1"/>
        <v>118</v>
      </c>
      <c r="B124" s="237" t="s">
        <v>363</v>
      </c>
      <c r="C124" s="237"/>
      <c r="D124" s="237"/>
      <c r="E124" s="238"/>
      <c r="F124" s="290"/>
      <c r="G124" s="237"/>
      <c r="H124" s="287"/>
      <c r="I124" s="290"/>
      <c r="J124" s="290"/>
      <c r="K124" s="237"/>
      <c r="L124" s="287">
        <v>122634.09214763377</v>
      </c>
      <c r="M124" s="237"/>
    </row>
    <row r="125" spans="1:14" ht="13.5" thickBot="1">
      <c r="A125" s="242">
        <f t="shared" si="1"/>
        <v>119</v>
      </c>
      <c r="B125" s="308" t="s">
        <v>378</v>
      </c>
      <c r="C125" s="268"/>
      <c r="D125" s="268"/>
      <c r="E125" s="269"/>
      <c r="F125" s="284"/>
      <c r="G125" s="268"/>
      <c r="H125" s="284"/>
      <c r="I125" s="290"/>
      <c r="J125" s="284"/>
      <c r="K125" s="268"/>
      <c r="L125" s="284">
        <v>1923011.4137424214</v>
      </c>
      <c r="M125" s="237"/>
    </row>
    <row r="126" spans="1:14">
      <c r="A126" s="242">
        <f t="shared" si="1"/>
        <v>120</v>
      </c>
      <c r="B126" s="237"/>
      <c r="C126" s="237"/>
      <c r="D126" s="237"/>
      <c r="E126" s="238"/>
      <c r="F126" s="290"/>
      <c r="G126" s="237"/>
      <c r="H126" s="290"/>
      <c r="I126" s="290"/>
      <c r="J126" s="290"/>
      <c r="K126" s="237"/>
      <c r="L126" s="290"/>
      <c r="M126" s="237"/>
    </row>
    <row r="127" spans="1:14" ht="13.5" thickBot="1">
      <c r="A127" s="242">
        <f t="shared" si="1"/>
        <v>121</v>
      </c>
      <c r="B127" s="268"/>
      <c r="C127" s="268"/>
      <c r="D127" s="268"/>
      <c r="E127" s="269"/>
      <c r="F127" s="284"/>
      <c r="G127" s="268"/>
      <c r="H127" s="284"/>
      <c r="I127" s="290"/>
      <c r="J127" s="284"/>
      <c r="K127" s="268"/>
      <c r="L127" s="284"/>
      <c r="M127" s="237"/>
      <c r="N127" s="292"/>
    </row>
    <row r="128" spans="1:14">
      <c r="A128" s="242">
        <f t="shared" si="1"/>
        <v>122</v>
      </c>
      <c r="B128" s="298"/>
      <c r="C128" s="299"/>
      <c r="D128" s="299"/>
      <c r="E128" s="300"/>
      <c r="F128" s="272"/>
      <c r="G128" s="272"/>
      <c r="H128" s="272"/>
      <c r="I128" s="237"/>
      <c r="J128" s="301"/>
      <c r="K128" s="272"/>
      <c r="L128" s="272"/>
      <c r="M128" s="237"/>
    </row>
    <row r="129" spans="1:15">
      <c r="A129" s="242">
        <f t="shared" si="1"/>
        <v>123</v>
      </c>
      <c r="B129" s="272"/>
      <c r="C129" s="272"/>
      <c r="D129" s="272"/>
      <c r="E129" s="295"/>
      <c r="F129" s="272"/>
      <c r="G129" s="272"/>
      <c r="H129" s="252"/>
      <c r="I129" s="237"/>
      <c r="J129" s="272"/>
      <c r="K129" s="272"/>
      <c r="L129" s="272"/>
      <c r="M129" s="272"/>
    </row>
    <row r="130" spans="1:15">
      <c r="A130" s="242">
        <f t="shared" si="1"/>
        <v>124</v>
      </c>
      <c r="B130" s="236" t="s">
        <v>115</v>
      </c>
      <c r="C130" s="237"/>
      <c r="D130" s="237"/>
      <c r="E130" s="238"/>
      <c r="F130" s="239" t="s">
        <v>345</v>
      </c>
      <c r="G130" s="239"/>
      <c r="H130" s="239"/>
      <c r="I130" s="237"/>
      <c r="J130" s="357" t="s">
        <v>346</v>
      </c>
      <c r="K130" s="357"/>
      <c r="L130" s="357"/>
      <c r="M130" s="240"/>
      <c r="N130" s="309"/>
      <c r="O130" s="309"/>
    </row>
    <row r="131" spans="1:15" ht="13.5" thickBot="1">
      <c r="A131" s="242">
        <f t="shared" si="1"/>
        <v>125</v>
      </c>
      <c r="B131" s="243" t="s">
        <v>92</v>
      </c>
      <c r="C131" s="244"/>
      <c r="D131" s="244"/>
      <c r="E131" s="245" t="s">
        <v>93</v>
      </c>
      <c r="F131" s="246" t="s">
        <v>93</v>
      </c>
      <c r="G131" s="246" t="s">
        <v>94</v>
      </c>
      <c r="H131" s="247" t="s">
        <v>95</v>
      </c>
      <c r="I131" s="246" t="s">
        <v>93</v>
      </c>
      <c r="J131" s="246" t="s">
        <v>93</v>
      </c>
      <c r="K131" s="246" t="s">
        <v>347</v>
      </c>
      <c r="L131" s="247" t="s">
        <v>95</v>
      </c>
      <c r="M131" s="237"/>
      <c r="N131" s="310"/>
      <c r="O131" s="310"/>
    </row>
    <row r="132" spans="1:15">
      <c r="A132" s="242">
        <f t="shared" si="1"/>
        <v>126</v>
      </c>
      <c r="B132" s="248"/>
      <c r="C132" s="248" t="s">
        <v>99</v>
      </c>
      <c r="D132" s="248" t="s">
        <v>100</v>
      </c>
      <c r="E132" s="278">
        <v>20000</v>
      </c>
      <c r="F132" s="250">
        <v>19214858</v>
      </c>
      <c r="G132" s="251">
        <v>0.21854000000000001</v>
      </c>
      <c r="H132" s="250">
        <v>4199215</v>
      </c>
      <c r="I132" s="260">
        <v>200</v>
      </c>
      <c r="J132" s="250">
        <v>775196</v>
      </c>
      <c r="K132" s="251">
        <v>0.7330144302610706</v>
      </c>
      <c r="L132" s="250">
        <v>568230</v>
      </c>
      <c r="M132" s="237"/>
      <c r="N132" s="255"/>
      <c r="O132" s="255"/>
    </row>
    <row r="133" spans="1:15">
      <c r="A133" s="242">
        <f t="shared" si="1"/>
        <v>127</v>
      </c>
      <c r="C133" s="248" t="s">
        <v>101</v>
      </c>
      <c r="D133" s="248" t="s">
        <v>102</v>
      </c>
      <c r="E133" s="278">
        <v>80000</v>
      </c>
      <c r="F133" s="250">
        <v>9263590</v>
      </c>
      <c r="G133" s="251">
        <v>0.16389999999999999</v>
      </c>
      <c r="H133" s="250">
        <v>1518302</v>
      </c>
      <c r="I133" s="260">
        <v>1800</v>
      </c>
      <c r="J133" s="250">
        <v>4981112</v>
      </c>
      <c r="K133" s="251">
        <v>0.47917471463785827</v>
      </c>
      <c r="L133" s="250">
        <v>2386823</v>
      </c>
      <c r="M133" s="237"/>
    </row>
    <row r="134" spans="1:15">
      <c r="A134" s="242">
        <f t="shared" si="1"/>
        <v>128</v>
      </c>
      <c r="C134" s="248" t="s">
        <v>110</v>
      </c>
      <c r="D134" s="248" t="s">
        <v>102</v>
      </c>
      <c r="E134" s="278">
        <v>300000</v>
      </c>
      <c r="F134" s="250">
        <v>5870026</v>
      </c>
      <c r="G134" s="251">
        <v>0.13111999999999999</v>
      </c>
      <c r="H134" s="250">
        <v>769678</v>
      </c>
      <c r="I134" s="260">
        <v>98000</v>
      </c>
      <c r="J134" s="250">
        <v>25032728</v>
      </c>
      <c r="K134" s="251">
        <v>0.1959625775933945</v>
      </c>
      <c r="L134" s="250">
        <v>4905478.0054404354</v>
      </c>
      <c r="M134" s="237"/>
    </row>
    <row r="135" spans="1:15">
      <c r="A135" s="242">
        <f t="shared" si="1"/>
        <v>129</v>
      </c>
      <c r="C135" s="276" t="s">
        <v>114</v>
      </c>
      <c r="D135" s="248" t="s">
        <v>108</v>
      </c>
      <c r="E135" s="278">
        <v>500000</v>
      </c>
      <c r="F135" s="250">
        <v>1835335</v>
      </c>
      <c r="G135" s="251">
        <v>5.2449999999999997E-2</v>
      </c>
      <c r="H135" s="250">
        <v>96263</v>
      </c>
      <c r="I135" s="260">
        <v>100000</v>
      </c>
      <c r="J135" s="250">
        <v>5394773</v>
      </c>
      <c r="K135" s="251">
        <v>7.2525633035203527E-2</v>
      </c>
      <c r="L135" s="250">
        <v>391259</v>
      </c>
      <c r="M135" s="237"/>
    </row>
    <row r="136" spans="1:15">
      <c r="A136" s="242">
        <f t="shared" si="1"/>
        <v>130</v>
      </c>
      <c r="B136" s="236" t="s">
        <v>104</v>
      </c>
      <c r="D136" s="248"/>
      <c r="E136" s="260"/>
      <c r="F136" s="279">
        <v>36183809</v>
      </c>
      <c r="G136" s="293"/>
      <c r="H136" s="279">
        <v>6583458</v>
      </c>
      <c r="I136" s="256"/>
      <c r="J136" s="279">
        <v>36183809</v>
      </c>
      <c r="K136" s="293"/>
      <c r="L136" s="279">
        <v>8251790.0054404354</v>
      </c>
      <c r="M136" s="237"/>
    </row>
    <row r="137" spans="1:15">
      <c r="A137" s="242">
        <f t="shared" ref="A137:A193" si="2">A136+1</f>
        <v>131</v>
      </c>
      <c r="B137" s="237"/>
      <c r="C137" s="248"/>
      <c r="D137" s="248"/>
      <c r="E137" s="260"/>
      <c r="F137" s="250"/>
      <c r="G137" s="265"/>
      <c r="H137" s="252"/>
      <c r="I137" s="256"/>
      <c r="J137" s="250"/>
      <c r="K137" s="265"/>
      <c r="L137" s="252"/>
      <c r="M137" s="237"/>
    </row>
    <row r="138" spans="1:15">
      <c r="A138" s="242">
        <f t="shared" si="2"/>
        <v>132</v>
      </c>
      <c r="B138" s="237"/>
      <c r="C138" s="248"/>
      <c r="D138" s="248"/>
      <c r="E138" s="260"/>
      <c r="F138" s="294" t="s">
        <v>369</v>
      </c>
      <c r="G138" s="265"/>
      <c r="H138" s="252"/>
      <c r="I138" s="256"/>
      <c r="J138" s="294" t="s">
        <v>369</v>
      </c>
      <c r="K138" s="265"/>
      <c r="L138" s="252"/>
      <c r="M138" s="237"/>
    </row>
    <row r="139" spans="1:15" ht="13.5" thickBot="1">
      <c r="A139" s="242">
        <f t="shared" si="2"/>
        <v>133</v>
      </c>
      <c r="B139" s="267" t="s">
        <v>348</v>
      </c>
      <c r="C139" s="268"/>
      <c r="D139" s="268"/>
      <c r="E139" s="269"/>
      <c r="F139" s="246" t="s">
        <v>349</v>
      </c>
      <c r="G139" s="246" t="s">
        <v>94</v>
      </c>
      <c r="H139" s="247" t="s">
        <v>95</v>
      </c>
      <c r="I139" s="237"/>
      <c r="J139" s="246" t="s">
        <v>349</v>
      </c>
      <c r="K139" s="246" t="s">
        <v>347</v>
      </c>
      <c r="L139" s="247" t="s">
        <v>95</v>
      </c>
      <c r="M139" s="237"/>
    </row>
    <row r="140" spans="1:15">
      <c r="A140" s="242">
        <f t="shared" si="2"/>
        <v>134</v>
      </c>
      <c r="B140" s="271" t="s">
        <v>372</v>
      </c>
      <c r="C140" s="237"/>
      <c r="D140" s="248" t="s">
        <v>373</v>
      </c>
      <c r="E140" s="238"/>
      <c r="F140" s="250">
        <v>3444</v>
      </c>
      <c r="G140" s="275">
        <v>375</v>
      </c>
      <c r="H140" s="250">
        <v>1291500</v>
      </c>
      <c r="I140" s="237"/>
      <c r="J140" s="250">
        <v>3444</v>
      </c>
      <c r="K140" s="275">
        <v>375</v>
      </c>
      <c r="L140" s="250">
        <v>1291500</v>
      </c>
      <c r="M140" s="237"/>
    </row>
    <row r="141" spans="1:15">
      <c r="A141" s="242">
        <f t="shared" si="2"/>
        <v>135</v>
      </c>
      <c r="B141" s="304"/>
      <c r="C141" s="237"/>
      <c r="D141" s="248" t="s">
        <v>374</v>
      </c>
      <c r="E141" s="238"/>
      <c r="F141" s="250">
        <v>624</v>
      </c>
      <c r="G141" s="275">
        <v>187.5</v>
      </c>
      <c r="H141" s="252">
        <v>117000</v>
      </c>
      <c r="I141" s="237"/>
      <c r="J141" s="250">
        <v>624</v>
      </c>
      <c r="K141" s="275">
        <v>187.5</v>
      </c>
      <c r="L141" s="250">
        <v>117000</v>
      </c>
      <c r="M141" s="237"/>
    </row>
    <row r="142" spans="1:15">
      <c r="A142" s="242">
        <f t="shared" si="2"/>
        <v>136</v>
      </c>
      <c r="B142" s="304"/>
      <c r="C142" s="237"/>
      <c r="D142" s="248"/>
      <c r="E142" s="238"/>
      <c r="F142" s="279">
        <v>4068</v>
      </c>
      <c r="G142" s="293"/>
      <c r="H142" s="279">
        <v>1408500</v>
      </c>
      <c r="I142" s="256"/>
      <c r="J142" s="279">
        <v>4068</v>
      </c>
      <c r="K142" s="293">
        <v>346.23893805309734</v>
      </c>
      <c r="L142" s="279">
        <v>1408500</v>
      </c>
      <c r="M142" s="237"/>
    </row>
    <row r="143" spans="1:15">
      <c r="A143" s="242">
        <f t="shared" si="2"/>
        <v>137</v>
      </c>
      <c r="B143" s="304"/>
      <c r="C143" s="237"/>
      <c r="D143" s="237"/>
      <c r="E143" s="238"/>
      <c r="F143" s="241"/>
      <c r="G143" s="270"/>
      <c r="H143" s="270"/>
      <c r="I143" s="237"/>
      <c r="J143" s="241"/>
      <c r="K143" s="270"/>
      <c r="L143" s="270"/>
      <c r="M143" s="237"/>
    </row>
    <row r="144" spans="1:15">
      <c r="A144" s="242">
        <f t="shared" si="2"/>
        <v>138</v>
      </c>
      <c r="B144" s="271" t="s">
        <v>152</v>
      </c>
      <c r="C144" s="248" t="s">
        <v>354</v>
      </c>
      <c r="D144" s="237"/>
      <c r="E144" s="238"/>
      <c r="F144" s="250">
        <v>24</v>
      </c>
      <c r="G144" s="275">
        <v>5</v>
      </c>
      <c r="H144" s="252">
        <v>120</v>
      </c>
      <c r="I144" s="237"/>
      <c r="J144" s="250">
        <v>24</v>
      </c>
      <c r="K144" s="275">
        <v>6.75</v>
      </c>
      <c r="L144" s="252">
        <v>162</v>
      </c>
      <c r="M144" s="237"/>
    </row>
    <row r="145" spans="1:13">
      <c r="A145" s="242">
        <f t="shared" si="2"/>
        <v>139</v>
      </c>
      <c r="B145" s="271"/>
      <c r="C145" s="248" t="s">
        <v>355</v>
      </c>
      <c r="D145" s="237"/>
      <c r="E145" s="238"/>
      <c r="F145" s="250">
        <v>636</v>
      </c>
      <c r="G145" s="275">
        <v>29</v>
      </c>
      <c r="H145" s="252">
        <v>18444</v>
      </c>
      <c r="I145" s="237"/>
      <c r="J145" s="250">
        <v>636</v>
      </c>
      <c r="K145" s="275">
        <v>18.25</v>
      </c>
      <c r="L145" s="252">
        <v>11607</v>
      </c>
      <c r="M145" s="237"/>
    </row>
    <row r="146" spans="1:13">
      <c r="A146" s="242">
        <f t="shared" si="2"/>
        <v>140</v>
      </c>
      <c r="B146" s="237"/>
      <c r="C146" s="248" t="s">
        <v>356</v>
      </c>
      <c r="D146" s="237"/>
      <c r="E146" s="238"/>
      <c r="F146" s="250">
        <v>1932</v>
      </c>
      <c r="G146" s="275">
        <v>67</v>
      </c>
      <c r="H146" s="252">
        <v>129444</v>
      </c>
      <c r="I146" s="237"/>
      <c r="J146" s="250">
        <v>1932</v>
      </c>
      <c r="K146" s="275">
        <v>63.5</v>
      </c>
      <c r="L146" s="252">
        <v>122682</v>
      </c>
      <c r="M146" s="237"/>
    </row>
    <row r="147" spans="1:13">
      <c r="A147" s="242">
        <f t="shared" si="2"/>
        <v>141</v>
      </c>
      <c r="B147" s="237"/>
      <c r="C147" s="248" t="s">
        <v>357</v>
      </c>
      <c r="D147" s="237"/>
      <c r="E147" s="238"/>
      <c r="F147" s="250">
        <v>2112</v>
      </c>
      <c r="G147" s="275">
        <v>274</v>
      </c>
      <c r="H147" s="252">
        <v>578688</v>
      </c>
      <c r="I147" s="237"/>
      <c r="J147" s="250">
        <v>2112</v>
      </c>
      <c r="K147" s="275">
        <v>420.25</v>
      </c>
      <c r="L147" s="252">
        <v>887568</v>
      </c>
      <c r="M147" s="237"/>
    </row>
    <row r="148" spans="1:13">
      <c r="A148" s="242">
        <f t="shared" si="2"/>
        <v>142</v>
      </c>
      <c r="B148" s="237"/>
      <c r="C148" s="276" t="s">
        <v>358</v>
      </c>
      <c r="D148" s="237"/>
      <c r="E148" s="238"/>
      <c r="F148" s="250">
        <v>0</v>
      </c>
      <c r="G148" s="275">
        <v>0</v>
      </c>
      <c r="H148" s="252">
        <v>0</v>
      </c>
      <c r="I148" s="237"/>
      <c r="J148" s="250">
        <v>0</v>
      </c>
      <c r="K148" s="275">
        <v>0</v>
      </c>
      <c r="L148" s="252">
        <v>0</v>
      </c>
      <c r="M148" s="237"/>
    </row>
    <row r="149" spans="1:13">
      <c r="A149" s="242">
        <f t="shared" si="2"/>
        <v>143</v>
      </c>
      <c r="B149" s="237"/>
      <c r="C149" s="237"/>
      <c r="D149" s="237"/>
      <c r="E149" s="238"/>
      <c r="F149" s="279">
        <v>4704</v>
      </c>
      <c r="G149" s="293"/>
      <c r="H149" s="279">
        <v>726696</v>
      </c>
      <c r="I149" s="256"/>
      <c r="J149" s="279">
        <v>4704</v>
      </c>
      <c r="K149" s="311">
        <v>217.26594387755102</v>
      </c>
      <c r="L149" s="279">
        <v>1022019</v>
      </c>
      <c r="M149" s="237"/>
    </row>
    <row r="150" spans="1:13">
      <c r="A150" s="242">
        <f t="shared" si="2"/>
        <v>144</v>
      </c>
      <c r="B150" s="237"/>
      <c r="C150" s="237"/>
      <c r="D150" s="237"/>
      <c r="E150" s="238"/>
      <c r="F150" s="297"/>
      <c r="G150" s="266"/>
      <c r="H150" s="297"/>
      <c r="I150" s="256"/>
      <c r="J150" s="297"/>
      <c r="K150" s="266"/>
      <c r="L150" s="297"/>
      <c r="M150" s="237"/>
    </row>
    <row r="151" spans="1:13" ht="13.5" thickBot="1">
      <c r="A151" s="242">
        <f t="shared" si="2"/>
        <v>145</v>
      </c>
      <c r="B151" s="271" t="s">
        <v>116</v>
      </c>
      <c r="C151" s="237"/>
      <c r="D151" s="237"/>
      <c r="E151" s="238"/>
      <c r="F151" s="246" t="s">
        <v>375</v>
      </c>
      <c r="G151" s="246" t="s">
        <v>97</v>
      </c>
      <c r="H151" s="306"/>
      <c r="I151" s="256"/>
      <c r="J151" s="246" t="s">
        <v>375</v>
      </c>
      <c r="K151" s="246" t="s">
        <v>97</v>
      </c>
      <c r="L151" s="306"/>
      <c r="M151" s="237"/>
    </row>
    <row r="152" spans="1:13">
      <c r="A152" s="242">
        <f t="shared" si="2"/>
        <v>146</v>
      </c>
      <c r="B152" s="271" t="s">
        <v>117</v>
      </c>
      <c r="C152" s="237"/>
      <c r="D152" s="237"/>
      <c r="E152" s="238"/>
      <c r="F152" s="250">
        <v>75836</v>
      </c>
      <c r="G152" s="305">
        <v>20.59</v>
      </c>
      <c r="H152" s="297">
        <v>1561463.24</v>
      </c>
      <c r="I152" s="256"/>
      <c r="J152" s="250">
        <v>75836</v>
      </c>
      <c r="K152" s="305">
        <v>25.807767925612737</v>
      </c>
      <c r="L152" s="297">
        <v>1957157.8884067675</v>
      </c>
      <c r="M152" s="237"/>
    </row>
    <row r="153" spans="1:13">
      <c r="A153" s="242">
        <f t="shared" si="2"/>
        <v>147</v>
      </c>
      <c r="B153" s="237"/>
      <c r="C153" s="237"/>
      <c r="D153" s="237"/>
      <c r="E153" s="238"/>
      <c r="F153" s="250"/>
      <c r="G153" s="307"/>
      <c r="H153" s="252"/>
      <c r="I153" s="237"/>
      <c r="J153" s="252" t="s">
        <v>380</v>
      </c>
      <c r="K153" s="307"/>
      <c r="L153" s="252"/>
      <c r="M153" s="237"/>
    </row>
    <row r="154" spans="1:13">
      <c r="A154" s="242">
        <f t="shared" si="2"/>
        <v>148</v>
      </c>
      <c r="B154" s="285" t="s">
        <v>361</v>
      </c>
      <c r="C154" s="248"/>
      <c r="F154" s="279"/>
      <c r="G154" s="293"/>
      <c r="H154" s="279">
        <v>3696659.24</v>
      </c>
      <c r="I154" s="256"/>
      <c r="J154" s="279"/>
      <c r="K154" s="293"/>
      <c r="L154" s="279">
        <v>4387676.8884067675</v>
      </c>
      <c r="M154" s="237"/>
    </row>
    <row r="155" spans="1:13" ht="13.5" thickBot="1">
      <c r="A155" s="242">
        <f t="shared" si="2"/>
        <v>149</v>
      </c>
      <c r="B155" s="237"/>
      <c r="C155" s="237"/>
      <c r="D155" s="237"/>
      <c r="E155" s="238"/>
      <c r="F155" s="283"/>
      <c r="G155" s="283"/>
      <c r="H155" s="286"/>
      <c r="I155" s="237"/>
      <c r="J155" s="283"/>
      <c r="K155" s="283"/>
      <c r="L155" s="286"/>
      <c r="M155" s="237"/>
    </row>
    <row r="156" spans="1:13" ht="13.5" thickTop="1">
      <c r="A156" s="242">
        <f t="shared" si="2"/>
        <v>150</v>
      </c>
      <c r="B156" s="237"/>
      <c r="C156" s="237"/>
      <c r="D156" s="237"/>
      <c r="E156" s="238"/>
      <c r="F156" s="272"/>
      <c r="G156" s="272"/>
      <c r="H156" s="288"/>
      <c r="I156" s="237"/>
      <c r="J156" s="272"/>
      <c r="K156" s="272"/>
      <c r="L156" s="288"/>
      <c r="M156" s="237"/>
    </row>
    <row r="157" spans="1:13">
      <c r="A157" s="242">
        <f t="shared" si="2"/>
        <v>151</v>
      </c>
      <c r="B157" s="236" t="s">
        <v>381</v>
      </c>
      <c r="C157" s="237"/>
      <c r="D157" s="237"/>
      <c r="E157" s="238"/>
      <c r="F157" s="290"/>
      <c r="G157" s="237"/>
      <c r="H157" s="290">
        <v>10280117.24</v>
      </c>
      <c r="I157" s="250"/>
      <c r="J157" s="290"/>
      <c r="K157" s="237"/>
      <c r="L157" s="290">
        <v>12639466.893847203</v>
      </c>
      <c r="M157" s="237"/>
    </row>
    <row r="158" spans="1:13">
      <c r="A158" s="242">
        <f t="shared" si="2"/>
        <v>152</v>
      </c>
      <c r="B158" s="308" t="s">
        <v>382</v>
      </c>
      <c r="C158" s="237"/>
      <c r="D158" s="237"/>
      <c r="E158" s="238"/>
      <c r="F158" s="290">
        <v>0</v>
      </c>
      <c r="G158" s="237"/>
      <c r="H158" s="290">
        <v>0</v>
      </c>
      <c r="I158" s="250"/>
      <c r="J158" s="290"/>
      <c r="K158" s="237"/>
      <c r="L158" s="290">
        <v>0</v>
      </c>
      <c r="M158" s="237"/>
    </row>
    <row r="159" spans="1:13">
      <c r="A159" s="242">
        <f t="shared" si="2"/>
        <v>153</v>
      </c>
      <c r="B159" s="308" t="s">
        <v>383</v>
      </c>
      <c r="C159" s="237"/>
      <c r="D159" s="290"/>
      <c r="E159" s="238"/>
      <c r="F159" s="290">
        <v>32985</v>
      </c>
      <c r="G159" s="237"/>
      <c r="H159" s="290">
        <v>30736.370000000003</v>
      </c>
      <c r="I159" s="250"/>
      <c r="J159" s="290">
        <v>32985</v>
      </c>
      <c r="K159" s="237"/>
      <c r="L159" s="290">
        <v>31029.758850000002</v>
      </c>
      <c r="M159" s="237"/>
    </row>
    <row r="160" spans="1:13">
      <c r="A160" s="242">
        <f t="shared" si="2"/>
        <v>154</v>
      </c>
      <c r="B160" s="308" t="s">
        <v>384</v>
      </c>
      <c r="C160" s="237"/>
      <c r="D160" s="237"/>
      <c r="E160" s="238"/>
      <c r="F160" s="290">
        <v>705083</v>
      </c>
      <c r="G160" s="237"/>
      <c r="H160" s="312">
        <v>540956</v>
      </c>
      <c r="I160" s="250"/>
      <c r="J160" s="290">
        <v>705083</v>
      </c>
      <c r="K160" s="237"/>
      <c r="L160" s="312">
        <v>540956</v>
      </c>
      <c r="M160" s="237"/>
    </row>
    <row r="161" spans="1:13">
      <c r="A161" s="242">
        <f t="shared" si="2"/>
        <v>155</v>
      </c>
      <c r="B161" s="308" t="s">
        <v>385</v>
      </c>
      <c r="C161" s="237"/>
      <c r="D161" s="237"/>
      <c r="E161" s="238"/>
      <c r="F161" s="290"/>
      <c r="G161" s="237"/>
      <c r="H161" s="312"/>
      <c r="I161" s="250"/>
      <c r="J161" s="290"/>
      <c r="K161" s="237"/>
      <c r="L161" s="313">
        <v>12639466.893847203</v>
      </c>
      <c r="M161" s="237"/>
    </row>
    <row r="162" spans="1:13">
      <c r="A162" s="242">
        <f t="shared" si="2"/>
        <v>156</v>
      </c>
      <c r="B162" s="237" t="s">
        <v>363</v>
      </c>
      <c r="C162" s="237"/>
      <c r="D162" s="237"/>
      <c r="E162" s="238"/>
      <c r="F162" s="290"/>
      <c r="G162" s="237"/>
      <c r="H162" s="312"/>
      <c r="I162" s="250"/>
      <c r="J162" s="290"/>
      <c r="K162" s="237"/>
      <c r="L162" s="312">
        <v>380582.45429109602</v>
      </c>
      <c r="M162" s="237"/>
    </row>
    <row r="163" spans="1:13" ht="13.5" thickBot="1">
      <c r="A163" s="242">
        <f t="shared" si="2"/>
        <v>157</v>
      </c>
      <c r="B163" s="308" t="s">
        <v>386</v>
      </c>
      <c r="C163" s="268"/>
      <c r="D163" s="268"/>
      <c r="E163" s="269"/>
      <c r="F163" s="284"/>
      <c r="G163" s="268"/>
      <c r="H163" s="284">
        <v>10851809.609999999</v>
      </c>
      <c r="I163" s="290"/>
      <c r="J163" s="284"/>
      <c r="K163" s="268"/>
      <c r="L163" s="284">
        <v>13592035.1069883</v>
      </c>
      <c r="M163" s="237"/>
    </row>
    <row r="164" spans="1:13">
      <c r="A164" s="242">
        <f t="shared" si="2"/>
        <v>158</v>
      </c>
      <c r="B164" s="308"/>
      <c r="C164" s="237"/>
      <c r="D164" s="237"/>
      <c r="E164" s="238"/>
      <c r="F164" s="290"/>
      <c r="G164" s="237"/>
      <c r="H164" s="290"/>
      <c r="I164" s="290"/>
      <c r="J164" s="290"/>
      <c r="K164" s="237"/>
      <c r="L164" s="290">
        <f>L163-L162</f>
        <v>13211452.652697204</v>
      </c>
      <c r="M164" s="237"/>
    </row>
    <row r="165" spans="1:13">
      <c r="A165" s="242">
        <f t="shared" si="2"/>
        <v>159</v>
      </c>
      <c r="B165" s="308"/>
      <c r="C165" s="237"/>
      <c r="D165" s="237"/>
      <c r="E165" s="238"/>
      <c r="F165" s="290"/>
      <c r="G165" s="237"/>
      <c r="H165" s="314"/>
      <c r="I165" s="290"/>
      <c r="J165" s="290"/>
      <c r="K165" s="290"/>
      <c r="L165" s="290"/>
      <c r="M165" s="237"/>
    </row>
    <row r="166" spans="1:13">
      <c r="A166" s="242">
        <f t="shared" si="2"/>
        <v>160</v>
      </c>
      <c r="B166" s="236" t="s">
        <v>118</v>
      </c>
      <c r="C166" s="237"/>
      <c r="D166" s="237"/>
      <c r="E166" s="238"/>
      <c r="F166" s="239" t="s">
        <v>345</v>
      </c>
      <c r="G166" s="239"/>
      <c r="H166" s="239"/>
      <c r="I166" s="237"/>
      <c r="J166" s="357" t="s">
        <v>346</v>
      </c>
      <c r="K166" s="357"/>
      <c r="L166" s="357"/>
      <c r="M166" s="237"/>
    </row>
    <row r="167" spans="1:13" ht="13.5" thickBot="1">
      <c r="A167" s="242">
        <f t="shared" si="2"/>
        <v>161</v>
      </c>
      <c r="B167" s="243" t="s">
        <v>92</v>
      </c>
      <c r="C167" s="244"/>
      <c r="D167" s="244"/>
      <c r="E167" s="245" t="s">
        <v>93</v>
      </c>
      <c r="F167" s="246" t="s">
        <v>93</v>
      </c>
      <c r="G167" s="246" t="s">
        <v>94</v>
      </c>
      <c r="H167" s="247" t="s">
        <v>95</v>
      </c>
      <c r="I167" s="237"/>
      <c r="J167" s="246" t="s">
        <v>93</v>
      </c>
      <c r="K167" s="246" t="s">
        <v>347</v>
      </c>
      <c r="L167" s="247" t="s">
        <v>95</v>
      </c>
      <c r="M167" s="237"/>
    </row>
    <row r="168" spans="1:13">
      <c r="A168" s="242">
        <f t="shared" si="2"/>
        <v>162</v>
      </c>
      <c r="B168" s="276" t="s">
        <v>107</v>
      </c>
      <c r="C168" s="248"/>
      <c r="D168" s="248" t="s">
        <v>108</v>
      </c>
      <c r="E168" s="260">
        <v>0</v>
      </c>
      <c r="F168" s="290">
        <v>32985</v>
      </c>
      <c r="G168" s="251">
        <v>0.65141000000000004</v>
      </c>
      <c r="H168" s="250">
        <v>21486.758850000002</v>
      </c>
      <c r="I168" s="256"/>
      <c r="J168" s="250">
        <v>32985</v>
      </c>
      <c r="K168" s="251">
        <v>0.65141000000000004</v>
      </c>
      <c r="L168" s="250">
        <v>21486.758850000002</v>
      </c>
      <c r="M168" s="237"/>
    </row>
    <row r="169" spans="1:13">
      <c r="A169" s="242">
        <f t="shared" si="2"/>
        <v>163</v>
      </c>
      <c r="B169" s="236" t="s">
        <v>104</v>
      </c>
      <c r="D169" s="248"/>
      <c r="E169" s="260"/>
      <c r="F169" s="279">
        <v>32985</v>
      </c>
      <c r="G169" s="293"/>
      <c r="H169" s="279">
        <v>21486.758850000002</v>
      </c>
      <c r="I169" s="256"/>
      <c r="J169" s="279">
        <v>32985</v>
      </c>
      <c r="K169" s="293"/>
      <c r="L169" s="279">
        <v>21486.758850000002</v>
      </c>
      <c r="M169" s="237"/>
    </row>
    <row r="170" spans="1:13">
      <c r="A170" s="242">
        <f t="shared" si="2"/>
        <v>164</v>
      </c>
      <c r="B170" s="237"/>
      <c r="C170" s="248"/>
      <c r="D170" s="248"/>
      <c r="E170" s="260"/>
      <c r="F170" s="250"/>
      <c r="G170" s="265"/>
      <c r="H170" s="252"/>
      <c r="I170" s="256"/>
      <c r="J170" s="250"/>
      <c r="K170" s="265"/>
      <c r="L170" s="252"/>
      <c r="M170" s="237"/>
    </row>
    <row r="171" spans="1:13">
      <c r="A171" s="242">
        <f t="shared" si="2"/>
        <v>165</v>
      </c>
      <c r="B171" s="237"/>
      <c r="C171" s="248"/>
      <c r="D171" s="248"/>
      <c r="E171" s="260"/>
      <c r="F171" s="294" t="s">
        <v>369</v>
      </c>
      <c r="G171" s="265"/>
      <c r="H171" s="252"/>
      <c r="I171" s="256"/>
      <c r="J171" s="294" t="s">
        <v>369</v>
      </c>
      <c r="K171" s="265"/>
      <c r="L171" s="252"/>
      <c r="M171" s="237"/>
    </row>
    <row r="172" spans="1:13" ht="13.5" thickBot="1">
      <c r="A172" s="242">
        <f t="shared" si="2"/>
        <v>166</v>
      </c>
      <c r="B172" s="267" t="s">
        <v>348</v>
      </c>
      <c r="C172" s="268"/>
      <c r="D172" s="268"/>
      <c r="E172" s="269"/>
      <c r="F172" s="246" t="s">
        <v>349</v>
      </c>
      <c r="G172" s="246" t="s">
        <v>94</v>
      </c>
      <c r="H172" s="247" t="s">
        <v>95</v>
      </c>
      <c r="I172" s="237"/>
      <c r="J172" s="246" t="s">
        <v>349</v>
      </c>
      <c r="K172" s="246" t="s">
        <v>347</v>
      </c>
      <c r="L172" s="247" t="s">
        <v>95</v>
      </c>
      <c r="M172" s="237"/>
    </row>
    <row r="173" spans="1:13">
      <c r="A173" s="242">
        <f t="shared" si="2"/>
        <v>167</v>
      </c>
      <c r="B173" s="271" t="s">
        <v>372</v>
      </c>
      <c r="C173" s="237"/>
      <c r="D173" s="248" t="s">
        <v>373</v>
      </c>
      <c r="E173" s="238"/>
      <c r="F173" s="250">
        <v>12</v>
      </c>
      <c r="G173" s="303">
        <v>375</v>
      </c>
      <c r="H173" s="250">
        <v>4500</v>
      </c>
      <c r="I173" s="237"/>
      <c r="J173" s="252">
        <v>12</v>
      </c>
      <c r="K173" s="275">
        <v>375</v>
      </c>
      <c r="L173" s="250">
        <v>4500</v>
      </c>
      <c r="M173" s="237"/>
    </row>
    <row r="174" spans="1:13">
      <c r="A174" s="242">
        <f t="shared" si="2"/>
        <v>168</v>
      </c>
      <c r="B174" s="304"/>
      <c r="C174" s="237"/>
      <c r="D174" s="248" t="s">
        <v>374</v>
      </c>
      <c r="E174" s="238"/>
      <c r="F174" s="250">
        <v>0</v>
      </c>
      <c r="G174" s="303">
        <v>187.5</v>
      </c>
      <c r="H174" s="252">
        <v>0</v>
      </c>
      <c r="I174" s="237"/>
      <c r="J174" s="252">
        <v>0</v>
      </c>
      <c r="K174" s="275">
        <v>187.5</v>
      </c>
      <c r="L174" s="250">
        <v>0</v>
      </c>
      <c r="M174" s="237"/>
    </row>
    <row r="175" spans="1:13">
      <c r="A175" s="242">
        <f t="shared" si="2"/>
        <v>169</v>
      </c>
      <c r="B175" s="304"/>
      <c r="C175" s="237"/>
      <c r="D175" s="248"/>
      <c r="E175" s="238"/>
      <c r="F175" s="279">
        <v>12</v>
      </c>
      <c r="G175" s="293"/>
      <c r="H175" s="279">
        <v>4500</v>
      </c>
      <c r="I175" s="256"/>
      <c r="J175" s="279">
        <v>12</v>
      </c>
      <c r="K175" s="293"/>
      <c r="L175" s="279">
        <v>4500</v>
      </c>
      <c r="M175" s="237"/>
    </row>
    <row r="176" spans="1:13">
      <c r="A176" s="242">
        <f t="shared" si="2"/>
        <v>170</v>
      </c>
      <c r="B176" s="304"/>
      <c r="C176" s="237"/>
      <c r="D176" s="237"/>
      <c r="E176" s="238"/>
      <c r="F176" s="241"/>
      <c r="G176" s="270"/>
      <c r="H176" s="270"/>
      <c r="I176" s="237"/>
      <c r="J176" s="241"/>
      <c r="K176" s="270"/>
      <c r="L176" s="270"/>
      <c r="M176" s="237"/>
    </row>
    <row r="177" spans="1:13">
      <c r="A177" s="242">
        <f t="shared" si="2"/>
        <v>171</v>
      </c>
      <c r="B177" s="271" t="s">
        <v>152</v>
      </c>
      <c r="C177" s="248" t="s">
        <v>354</v>
      </c>
      <c r="D177" s="237"/>
      <c r="E177" s="238"/>
      <c r="F177" s="250">
        <v>0</v>
      </c>
      <c r="G177" s="275">
        <v>5</v>
      </c>
      <c r="H177" s="252">
        <v>0</v>
      </c>
      <c r="I177" s="237"/>
      <c r="J177" s="252">
        <v>0</v>
      </c>
      <c r="K177" s="275">
        <v>6.75</v>
      </c>
      <c r="L177" s="252">
        <v>0</v>
      </c>
      <c r="M177" s="237"/>
    </row>
    <row r="178" spans="1:13">
      <c r="A178" s="242">
        <f t="shared" si="2"/>
        <v>172</v>
      </c>
      <c r="B178" s="271"/>
      <c r="C178" s="248" t="s">
        <v>355</v>
      </c>
      <c r="D178" s="237"/>
      <c r="E178" s="238"/>
      <c r="F178" s="250">
        <v>0</v>
      </c>
      <c r="G178" s="275">
        <v>21</v>
      </c>
      <c r="H178" s="252">
        <v>0</v>
      </c>
      <c r="I178" s="237"/>
      <c r="J178" s="252">
        <v>0</v>
      </c>
      <c r="K178" s="275">
        <v>18.25</v>
      </c>
      <c r="L178" s="252">
        <v>0</v>
      </c>
      <c r="M178" s="237"/>
    </row>
    <row r="179" spans="1:13">
      <c r="A179" s="242">
        <f t="shared" si="2"/>
        <v>173</v>
      </c>
      <c r="B179" s="237"/>
      <c r="C179" s="248" t="s">
        <v>356</v>
      </c>
      <c r="D179" s="237"/>
      <c r="E179" s="238"/>
      <c r="F179" s="250">
        <v>0</v>
      </c>
      <c r="G179" s="275">
        <v>55</v>
      </c>
      <c r="H179" s="252">
        <v>0</v>
      </c>
      <c r="I179" s="237"/>
      <c r="J179" s="252">
        <v>0</v>
      </c>
      <c r="K179" s="275">
        <v>63.5</v>
      </c>
      <c r="L179" s="252">
        <v>0</v>
      </c>
      <c r="M179" s="237"/>
    </row>
    <row r="180" spans="1:13">
      <c r="A180" s="242">
        <f t="shared" si="2"/>
        <v>174</v>
      </c>
      <c r="B180" s="237"/>
      <c r="C180" s="248" t="s">
        <v>357</v>
      </c>
      <c r="D180" s="237"/>
      <c r="E180" s="238"/>
      <c r="F180" s="250">
        <v>12</v>
      </c>
      <c r="G180" s="275">
        <v>244</v>
      </c>
      <c r="H180" s="252">
        <v>2928</v>
      </c>
      <c r="I180" s="287"/>
      <c r="J180" s="252">
        <v>12</v>
      </c>
      <c r="K180" s="275">
        <v>420.25</v>
      </c>
      <c r="L180" s="252">
        <v>5043</v>
      </c>
      <c r="M180" s="237"/>
    </row>
    <row r="181" spans="1:13">
      <c r="A181" s="242">
        <f t="shared" si="2"/>
        <v>175</v>
      </c>
      <c r="B181" s="237"/>
      <c r="C181" s="248" t="s">
        <v>387</v>
      </c>
      <c r="D181" s="237"/>
      <c r="E181" s="238"/>
      <c r="F181" s="250">
        <v>0</v>
      </c>
      <c r="G181" s="275">
        <v>0</v>
      </c>
      <c r="H181" s="252">
        <v>0</v>
      </c>
      <c r="I181" s="237"/>
      <c r="J181" s="252">
        <v>0</v>
      </c>
      <c r="K181" s="275">
        <v>0</v>
      </c>
      <c r="L181" s="252">
        <v>0</v>
      </c>
      <c r="M181" s="237"/>
    </row>
    <row r="182" spans="1:13">
      <c r="A182" s="242">
        <f t="shared" si="2"/>
        <v>176</v>
      </c>
      <c r="B182" s="237"/>
      <c r="C182" s="237"/>
      <c r="D182" s="237"/>
      <c r="E182" s="238"/>
      <c r="F182" s="279">
        <v>12</v>
      </c>
      <c r="G182" s="293"/>
      <c r="H182" s="279">
        <v>2928</v>
      </c>
      <c r="I182" s="256"/>
      <c r="J182" s="279">
        <v>24</v>
      </c>
      <c r="K182" s="293"/>
      <c r="L182" s="279">
        <v>5043</v>
      </c>
      <c r="M182" s="237"/>
    </row>
    <row r="183" spans="1:13">
      <c r="A183" s="242">
        <f t="shared" si="2"/>
        <v>177</v>
      </c>
      <c r="B183" s="237"/>
      <c r="C183" s="237"/>
      <c r="D183" s="237"/>
      <c r="E183" s="238"/>
      <c r="F183" s="250"/>
      <c r="G183" s="307"/>
      <c r="H183" s="252"/>
      <c r="I183" s="237"/>
      <c r="J183" s="252"/>
      <c r="K183" s="307"/>
      <c r="L183" s="252"/>
      <c r="M183" s="237"/>
    </row>
    <row r="184" spans="1:13">
      <c r="A184" s="242">
        <f t="shared" si="2"/>
        <v>178</v>
      </c>
      <c r="B184" s="285" t="s">
        <v>361</v>
      </c>
      <c r="C184" s="248"/>
      <c r="F184" s="279"/>
      <c r="G184" s="293"/>
      <c r="H184" s="279">
        <v>7428</v>
      </c>
      <c r="I184" s="256"/>
      <c r="J184" s="279"/>
      <c r="K184" s="293"/>
      <c r="L184" s="279">
        <v>9543</v>
      </c>
      <c r="M184" s="237"/>
    </row>
    <row r="185" spans="1:13" ht="13.5" thickBot="1">
      <c r="A185" s="242">
        <f t="shared" si="2"/>
        <v>179</v>
      </c>
      <c r="B185" s="237"/>
      <c r="C185" s="237"/>
      <c r="D185" s="237"/>
      <c r="E185" s="238"/>
      <c r="F185" s="283"/>
      <c r="G185" s="283"/>
      <c r="H185" s="286"/>
      <c r="I185" s="237"/>
      <c r="J185" s="283"/>
      <c r="K185" s="283"/>
      <c r="L185" s="286"/>
      <c r="M185" s="237"/>
    </row>
    <row r="186" spans="1:13" ht="13.5" thickTop="1">
      <c r="A186" s="242">
        <f t="shared" si="2"/>
        <v>180</v>
      </c>
      <c r="B186" s="237"/>
      <c r="C186" s="237"/>
      <c r="D186" s="237"/>
      <c r="E186" s="238"/>
      <c r="F186" s="272"/>
      <c r="G186" s="272"/>
      <c r="H186" s="288"/>
      <c r="I186" s="237"/>
      <c r="J186" s="272"/>
      <c r="K186" s="272"/>
      <c r="L186" s="288"/>
      <c r="M186" s="237"/>
    </row>
    <row r="187" spans="1:13">
      <c r="A187" s="242">
        <f t="shared" si="2"/>
        <v>181</v>
      </c>
      <c r="B187" s="236" t="s">
        <v>383</v>
      </c>
      <c r="C187" s="237"/>
      <c r="D187" s="237"/>
      <c r="E187" s="238"/>
      <c r="F187" s="290"/>
      <c r="G187" s="237"/>
      <c r="H187" s="287">
        <v>28914.758850000002</v>
      </c>
      <c r="I187" s="290"/>
      <c r="J187" s="290"/>
      <c r="K187" s="237"/>
      <c r="L187" s="290">
        <v>31029.758850000002</v>
      </c>
      <c r="M187" s="272"/>
    </row>
    <row r="188" spans="1:13" ht="13.5" thickBot="1">
      <c r="A188" s="242">
        <f t="shared" si="2"/>
        <v>182</v>
      </c>
      <c r="B188" s="268"/>
      <c r="C188" s="268"/>
      <c r="D188" s="268"/>
      <c r="E188" s="269"/>
      <c r="F188" s="284"/>
      <c r="G188" s="268"/>
      <c r="H188" s="284"/>
      <c r="I188" s="290"/>
      <c r="J188" s="284"/>
      <c r="K188" s="268"/>
      <c r="L188" s="284"/>
      <c r="M188" s="237"/>
    </row>
    <row r="189" spans="1:13">
      <c r="A189" s="242">
        <f t="shared" si="2"/>
        <v>183</v>
      </c>
      <c r="B189" s="272"/>
      <c r="C189" s="272"/>
      <c r="D189" s="272"/>
      <c r="E189" s="295"/>
      <c r="F189" s="272"/>
      <c r="G189" s="272"/>
      <c r="H189" s="252"/>
      <c r="I189" s="237"/>
      <c r="J189" s="272"/>
      <c r="K189" s="272"/>
      <c r="L189" s="272"/>
      <c r="M189" s="237"/>
    </row>
    <row r="190" spans="1:13">
      <c r="A190" s="242">
        <f t="shared" si="2"/>
        <v>184</v>
      </c>
      <c r="I190" s="240"/>
      <c r="M190" s="237"/>
    </row>
    <row r="191" spans="1:13" ht="13.5" thickBot="1">
      <c r="A191" s="242">
        <f t="shared" si="2"/>
        <v>185</v>
      </c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</row>
    <row r="192" spans="1:13">
      <c r="A192" s="242">
        <f t="shared" si="2"/>
        <v>186</v>
      </c>
      <c r="B192" s="315"/>
      <c r="C192" s="316"/>
      <c r="D192" s="316"/>
      <c r="E192" s="317"/>
      <c r="F192" s="316"/>
      <c r="G192" s="316"/>
      <c r="H192" s="318"/>
      <c r="I192" s="316"/>
      <c r="J192" s="316"/>
      <c r="K192" s="316"/>
      <c r="L192" s="319"/>
      <c r="M192" s="237"/>
    </row>
    <row r="193" spans="1:13">
      <c r="A193" s="242">
        <f t="shared" si="2"/>
        <v>187</v>
      </c>
      <c r="B193" s="320" t="s">
        <v>388</v>
      </c>
      <c r="C193" s="237"/>
      <c r="D193" s="237"/>
      <c r="E193" s="238"/>
      <c r="F193" s="241"/>
      <c r="G193" s="270" t="s">
        <v>389</v>
      </c>
      <c r="H193" s="241"/>
      <c r="J193" s="241"/>
      <c r="K193" s="270" t="s">
        <v>390</v>
      </c>
      <c r="L193" s="321"/>
      <c r="M193" s="237"/>
    </row>
    <row r="194" spans="1:13" ht="13.5" thickBot="1">
      <c r="A194" s="242">
        <f t="shared" ref="A194:A225" si="3">A193+1</f>
        <v>188</v>
      </c>
      <c r="B194" s="322"/>
      <c r="C194" s="281" t="s">
        <v>391</v>
      </c>
      <c r="D194" s="281"/>
      <c r="E194" s="323"/>
      <c r="F194" s="246" t="s">
        <v>93</v>
      </c>
      <c r="G194" s="324"/>
      <c r="H194" s="247" t="s">
        <v>95</v>
      </c>
      <c r="J194" s="246" t="s">
        <v>93</v>
      </c>
      <c r="K194" s="324"/>
      <c r="L194" s="325" t="s">
        <v>95</v>
      </c>
      <c r="M194" s="237"/>
    </row>
    <row r="195" spans="1:13">
      <c r="A195" s="242">
        <f t="shared" si="3"/>
        <v>189</v>
      </c>
      <c r="B195" s="322"/>
      <c r="C195" s="281"/>
      <c r="D195" s="271" t="s">
        <v>392</v>
      </c>
      <c r="E195" s="323"/>
      <c r="F195" s="297">
        <v>98495495</v>
      </c>
      <c r="G195" s="281"/>
      <c r="H195" s="297">
        <v>264298551.084672</v>
      </c>
      <c r="J195" s="297">
        <v>98495495</v>
      </c>
      <c r="K195" s="281"/>
      <c r="L195" s="326">
        <v>276944341.71734053</v>
      </c>
      <c r="M195" s="237"/>
    </row>
    <row r="196" spans="1:13">
      <c r="A196" s="242">
        <f t="shared" si="3"/>
        <v>190</v>
      </c>
      <c r="B196" s="322"/>
      <c r="C196" s="281"/>
      <c r="D196" s="281" t="s">
        <v>71</v>
      </c>
      <c r="E196" s="323"/>
      <c r="F196" s="297">
        <v>678836</v>
      </c>
      <c r="G196" s="281"/>
      <c r="H196" s="297">
        <v>3563509</v>
      </c>
      <c r="J196" s="297">
        <v>678836</v>
      </c>
      <c r="K196" s="281"/>
      <c r="L196" s="326">
        <v>3689532.8731013839</v>
      </c>
      <c r="M196" s="237"/>
    </row>
    <row r="197" spans="1:13">
      <c r="A197" s="242">
        <f t="shared" si="3"/>
        <v>191</v>
      </c>
      <c r="B197" s="322"/>
      <c r="C197" s="281"/>
      <c r="D197" s="281" t="s">
        <v>393</v>
      </c>
      <c r="E197" s="323"/>
      <c r="F197" s="297">
        <v>4852953</v>
      </c>
      <c r="G197" s="281"/>
      <c r="H197" s="297">
        <v>3445111</v>
      </c>
      <c r="J197" s="297">
        <v>4852953</v>
      </c>
      <c r="K197" s="281"/>
      <c r="L197" s="326">
        <v>3706888.5472826199</v>
      </c>
      <c r="M197" s="237"/>
    </row>
    <row r="198" spans="1:13">
      <c r="A198" s="242">
        <f t="shared" si="3"/>
        <v>192</v>
      </c>
      <c r="B198" s="322"/>
      <c r="C198" s="281" t="s">
        <v>394</v>
      </c>
      <c r="D198" s="281"/>
      <c r="E198" s="323"/>
      <c r="F198" s="279">
        <v>104027284</v>
      </c>
      <c r="G198" s="280"/>
      <c r="H198" s="327">
        <v>271307171.08467197</v>
      </c>
      <c r="J198" s="279">
        <v>104027284</v>
      </c>
      <c r="K198" s="280"/>
      <c r="L198" s="328">
        <v>284340763.13772458</v>
      </c>
      <c r="M198" s="237"/>
    </row>
    <row r="199" spans="1:13">
      <c r="A199" s="242">
        <f t="shared" si="3"/>
        <v>193</v>
      </c>
      <c r="B199" s="322"/>
      <c r="C199" s="281"/>
      <c r="D199" s="281"/>
      <c r="E199" s="323"/>
      <c r="F199" s="281"/>
      <c r="G199" s="281"/>
      <c r="H199" s="281"/>
      <c r="J199" s="281"/>
      <c r="K199" s="281"/>
      <c r="L199" s="329"/>
      <c r="M199" s="237"/>
    </row>
    <row r="200" spans="1:13">
      <c r="A200" s="242">
        <f t="shared" si="3"/>
        <v>194</v>
      </c>
      <c r="B200" s="322"/>
      <c r="C200" s="281" t="s">
        <v>395</v>
      </c>
      <c r="D200" s="281"/>
      <c r="E200" s="323"/>
      <c r="F200" s="281"/>
      <c r="G200" s="281"/>
      <c r="H200" s="281"/>
      <c r="J200" s="281"/>
      <c r="K200" s="281"/>
      <c r="L200" s="329"/>
      <c r="M200" s="237"/>
    </row>
    <row r="201" spans="1:13">
      <c r="A201" s="242">
        <f t="shared" si="3"/>
        <v>195</v>
      </c>
      <c r="B201" s="322"/>
      <c r="C201" s="281"/>
      <c r="D201" s="271" t="s">
        <v>72</v>
      </c>
      <c r="E201" s="323"/>
      <c r="F201" s="297">
        <v>2625847</v>
      </c>
      <c r="G201" s="281"/>
      <c r="H201" s="302">
        <v>806189</v>
      </c>
      <c r="J201" s="297">
        <v>2625847</v>
      </c>
      <c r="K201" s="281"/>
      <c r="L201" s="330">
        <v>955501.12125608686</v>
      </c>
      <c r="M201" s="237"/>
    </row>
    <row r="202" spans="1:13">
      <c r="A202" s="242">
        <f t="shared" si="3"/>
        <v>196</v>
      </c>
      <c r="B202" s="322"/>
      <c r="C202" s="281"/>
      <c r="D202" s="271" t="s">
        <v>396</v>
      </c>
      <c r="E202" s="323"/>
      <c r="F202" s="297">
        <v>0</v>
      </c>
      <c r="G202" s="281"/>
      <c r="H202" s="297">
        <v>0</v>
      </c>
      <c r="J202" s="297">
        <v>0</v>
      </c>
      <c r="K202" s="281"/>
      <c r="L202" s="326">
        <v>0</v>
      </c>
      <c r="M202" s="237"/>
    </row>
    <row r="203" spans="1:13">
      <c r="A203" s="242">
        <f t="shared" si="3"/>
        <v>197</v>
      </c>
      <c r="B203" s="322"/>
      <c r="C203" s="281" t="s">
        <v>397</v>
      </c>
      <c r="D203" s="281"/>
      <c r="E203" s="323"/>
      <c r="F203" s="279">
        <v>2625847</v>
      </c>
      <c r="G203" s="280"/>
      <c r="H203" s="327">
        <v>806189</v>
      </c>
      <c r="J203" s="279">
        <v>2625847</v>
      </c>
      <c r="K203" s="280"/>
      <c r="L203" s="328">
        <v>955501.12125608686</v>
      </c>
      <c r="M203" s="237"/>
    </row>
    <row r="204" spans="1:13" ht="13.5" thickBot="1">
      <c r="A204" s="242">
        <f t="shared" si="3"/>
        <v>198</v>
      </c>
      <c r="B204" s="322"/>
      <c r="C204" s="281"/>
      <c r="D204" s="281"/>
      <c r="E204" s="323"/>
      <c r="F204" s="324"/>
      <c r="G204" s="324"/>
      <c r="H204" s="324"/>
      <c r="J204" s="324"/>
      <c r="K204" s="324"/>
      <c r="L204" s="331"/>
      <c r="M204" s="237"/>
    </row>
    <row r="205" spans="1:13">
      <c r="A205" s="242">
        <f t="shared" si="3"/>
        <v>199</v>
      </c>
      <c r="B205" s="322"/>
      <c r="C205" s="281"/>
      <c r="D205" s="281"/>
      <c r="E205" s="323"/>
      <c r="F205" s="281"/>
      <c r="G205" s="281"/>
      <c r="H205" s="281"/>
      <c r="J205" s="281"/>
      <c r="K205" s="281"/>
      <c r="L205" s="329"/>
      <c r="M205" s="237"/>
    </row>
    <row r="206" spans="1:13">
      <c r="A206" s="242">
        <f t="shared" si="3"/>
        <v>200</v>
      </c>
      <c r="B206" s="322"/>
      <c r="C206" s="281" t="s">
        <v>398</v>
      </c>
      <c r="D206" s="281"/>
      <c r="E206" s="323"/>
      <c r="F206" s="297">
        <v>106653131</v>
      </c>
      <c r="G206" s="281"/>
      <c r="H206" s="302">
        <v>272113360.08467197</v>
      </c>
      <c r="J206" s="297">
        <v>106653131</v>
      </c>
      <c r="K206" s="281"/>
      <c r="L206" s="330">
        <v>285296264.25898069</v>
      </c>
      <c r="M206" s="237"/>
    </row>
    <row r="207" spans="1:13">
      <c r="A207" s="242">
        <f t="shared" si="3"/>
        <v>201</v>
      </c>
      <c r="B207" s="322"/>
      <c r="C207" s="281"/>
      <c r="D207" s="281"/>
      <c r="E207" s="323"/>
      <c r="F207" s="281"/>
      <c r="G207" s="281"/>
      <c r="H207" s="281"/>
      <c r="J207" s="281"/>
      <c r="K207" s="281"/>
      <c r="L207" s="329"/>
      <c r="M207" s="237"/>
    </row>
    <row r="208" spans="1:13">
      <c r="A208" s="242">
        <f t="shared" si="3"/>
        <v>202</v>
      </c>
      <c r="B208" s="322"/>
      <c r="C208" s="281" t="s">
        <v>399</v>
      </c>
      <c r="D208" s="281"/>
      <c r="E208" s="323"/>
      <c r="F208" s="281"/>
      <c r="G208" s="281"/>
      <c r="H208" s="281"/>
      <c r="J208" s="281"/>
      <c r="K208" s="281"/>
      <c r="L208" s="329"/>
      <c r="M208" s="237"/>
    </row>
    <row r="209" spans="1:13">
      <c r="A209" s="242">
        <f t="shared" si="3"/>
        <v>203</v>
      </c>
      <c r="B209" s="322"/>
      <c r="C209" s="281" t="s">
        <v>75</v>
      </c>
      <c r="D209" s="281" t="s">
        <v>75</v>
      </c>
      <c r="E209" s="323"/>
      <c r="F209" s="297">
        <v>6596656</v>
      </c>
      <c r="G209" s="281"/>
      <c r="H209" s="302">
        <v>1377616</v>
      </c>
      <c r="J209" s="297">
        <v>6596656</v>
      </c>
      <c r="K209" s="281"/>
      <c r="L209" s="330">
        <v>1923011.4137424214</v>
      </c>
      <c r="M209" s="237"/>
    </row>
    <row r="210" spans="1:13">
      <c r="A210" s="242">
        <f t="shared" si="3"/>
        <v>204</v>
      </c>
      <c r="B210" s="322"/>
      <c r="C210" s="281" t="s">
        <v>400</v>
      </c>
      <c r="D210" s="281" t="s">
        <v>400</v>
      </c>
      <c r="E210" s="323"/>
      <c r="F210" s="297">
        <v>36728215</v>
      </c>
      <c r="G210" s="281"/>
      <c r="H210" s="297">
        <v>3155877</v>
      </c>
      <c r="J210" s="297"/>
      <c r="K210" s="281"/>
      <c r="L210" s="326">
        <v>380582.45429109602</v>
      </c>
      <c r="M210" s="237"/>
    </row>
    <row r="211" spans="1:13">
      <c r="A211" s="242">
        <f t="shared" si="3"/>
        <v>205</v>
      </c>
      <c r="B211" s="322"/>
      <c r="C211" s="281" t="s">
        <v>401</v>
      </c>
      <c r="D211" s="281" t="s">
        <v>401</v>
      </c>
      <c r="E211" s="323"/>
      <c r="F211" s="297">
        <v>0</v>
      </c>
      <c r="G211" s="281"/>
      <c r="H211" s="297">
        <v>0</v>
      </c>
      <c r="J211" s="297"/>
      <c r="K211" s="281"/>
      <c r="L211" s="326">
        <v>0</v>
      </c>
      <c r="M211" s="237"/>
    </row>
    <row r="212" spans="1:13">
      <c r="A212" s="242">
        <f t="shared" si="3"/>
        <v>206</v>
      </c>
      <c r="B212" s="322"/>
      <c r="C212" s="281" t="s">
        <v>74</v>
      </c>
      <c r="D212" s="281" t="s">
        <v>74</v>
      </c>
      <c r="E212" s="323"/>
      <c r="F212" s="297">
        <v>32985</v>
      </c>
      <c r="G212" s="281"/>
      <c r="H212" s="297">
        <v>30736.370000000003</v>
      </c>
      <c r="J212" s="297"/>
      <c r="K212" s="281"/>
      <c r="L212" s="326">
        <v>31029.758850000002</v>
      </c>
      <c r="M212" s="237"/>
    </row>
    <row r="213" spans="1:13">
      <c r="A213" s="242">
        <f t="shared" si="3"/>
        <v>207</v>
      </c>
      <c r="B213" s="322"/>
      <c r="C213" s="281" t="s">
        <v>73</v>
      </c>
      <c r="D213" s="281" t="s">
        <v>402</v>
      </c>
      <c r="E213" s="323"/>
      <c r="F213" s="297"/>
      <c r="G213" s="281"/>
      <c r="H213" s="297"/>
      <c r="J213" s="297"/>
      <c r="K213" s="281"/>
      <c r="L213" s="326">
        <v>540956</v>
      </c>
      <c r="M213" s="237"/>
    </row>
    <row r="214" spans="1:13">
      <c r="A214" s="242">
        <f t="shared" si="3"/>
        <v>208</v>
      </c>
      <c r="B214" s="322"/>
      <c r="C214" s="332" t="s">
        <v>403</v>
      </c>
      <c r="D214" s="271" t="s">
        <v>73</v>
      </c>
      <c r="E214" s="323"/>
      <c r="F214" s="297">
        <v>36183809</v>
      </c>
      <c r="G214" s="281"/>
      <c r="H214" s="297">
        <v>10280117.24</v>
      </c>
      <c r="J214" s="297">
        <v>36183809</v>
      </c>
      <c r="K214" s="281"/>
      <c r="L214" s="326">
        <v>12639466.893847203</v>
      </c>
      <c r="M214" s="237"/>
    </row>
    <row r="215" spans="1:13">
      <c r="A215" s="242">
        <f t="shared" si="3"/>
        <v>209</v>
      </c>
      <c r="B215" s="322"/>
      <c r="C215" s="281" t="s">
        <v>404</v>
      </c>
      <c r="D215" s="281"/>
      <c r="E215" s="323"/>
      <c r="F215" s="279">
        <v>79541665</v>
      </c>
      <c r="G215" s="280"/>
      <c r="H215" s="327">
        <v>14844346.609999999</v>
      </c>
      <c r="J215" s="279">
        <v>42780465</v>
      </c>
      <c r="K215" s="280"/>
      <c r="L215" s="328">
        <v>15515046.520730721</v>
      </c>
      <c r="M215" s="237"/>
    </row>
    <row r="216" spans="1:13" ht="13.5" thickBot="1">
      <c r="A216" s="242">
        <f t="shared" si="3"/>
        <v>210</v>
      </c>
      <c r="B216" s="322"/>
      <c r="C216" s="281"/>
      <c r="D216" s="281"/>
      <c r="E216" s="323"/>
      <c r="F216" s="333"/>
      <c r="G216" s="333"/>
      <c r="H216" s="333"/>
      <c r="J216" s="333"/>
      <c r="K216" s="333"/>
      <c r="L216" s="334"/>
      <c r="M216" s="237"/>
    </row>
    <row r="217" spans="1:13" ht="13.5" thickTop="1">
      <c r="A217" s="242">
        <f t="shared" si="3"/>
        <v>211</v>
      </c>
      <c r="B217" s="322"/>
      <c r="C217" s="281"/>
      <c r="D217" s="281"/>
      <c r="E217" s="323"/>
      <c r="F217" s="281"/>
      <c r="G217" s="281"/>
      <c r="H217" s="281"/>
      <c r="J217" s="281"/>
      <c r="K217" s="281"/>
      <c r="L217" s="329"/>
      <c r="M217" s="237"/>
    </row>
    <row r="218" spans="1:13">
      <c r="A218" s="242">
        <f t="shared" si="3"/>
        <v>212</v>
      </c>
      <c r="B218" s="322"/>
      <c r="C218" s="281" t="s">
        <v>405</v>
      </c>
      <c r="D218" s="281"/>
      <c r="E218" s="323"/>
      <c r="F218" s="297">
        <v>186194796</v>
      </c>
      <c r="G218" s="281"/>
      <c r="H218" s="302">
        <v>286957706.69467199</v>
      </c>
      <c r="J218" s="297">
        <v>149433596</v>
      </c>
      <c r="K218" s="281"/>
      <c r="L218" s="330">
        <v>300811310.77971143</v>
      </c>
      <c r="M218" s="237"/>
    </row>
    <row r="219" spans="1:13">
      <c r="A219" s="242">
        <f t="shared" si="3"/>
        <v>213</v>
      </c>
      <c r="B219" s="322"/>
      <c r="C219" s="281" t="s">
        <v>406</v>
      </c>
      <c r="D219" s="281"/>
      <c r="E219" s="323"/>
      <c r="F219" s="297"/>
      <c r="G219" s="281"/>
      <c r="H219" s="302">
        <v>4402654.4799999995</v>
      </c>
      <c r="J219" s="297"/>
      <c r="K219" s="281"/>
      <c r="L219" s="330">
        <v>4402654.4800000004</v>
      </c>
      <c r="M219" s="237"/>
    </row>
    <row r="220" spans="1:13" ht="6.95" customHeight="1" thickBot="1">
      <c r="A220" s="242">
        <f t="shared" si="3"/>
        <v>214</v>
      </c>
      <c r="B220" s="322"/>
      <c r="C220" s="281"/>
      <c r="D220" s="281"/>
      <c r="E220" s="323"/>
      <c r="F220" s="333"/>
      <c r="G220" s="333"/>
      <c r="H220" s="333"/>
      <c r="J220" s="333"/>
      <c r="K220" s="333"/>
      <c r="L220" s="334"/>
      <c r="M220" s="237"/>
    </row>
    <row r="221" spans="1:13" ht="6.95" customHeight="1" thickTop="1">
      <c r="A221" s="242">
        <f t="shared" si="3"/>
        <v>215</v>
      </c>
      <c r="B221" s="322"/>
      <c r="C221" s="281"/>
      <c r="D221" s="281"/>
      <c r="E221" s="323"/>
      <c r="F221" s="281"/>
      <c r="G221" s="281"/>
      <c r="H221" s="281"/>
      <c r="J221" s="281"/>
      <c r="K221" s="281"/>
      <c r="L221" s="329"/>
      <c r="M221" s="237"/>
    </row>
    <row r="222" spans="1:13">
      <c r="A222" s="242">
        <f t="shared" si="3"/>
        <v>216</v>
      </c>
      <c r="B222" s="322"/>
      <c r="C222" s="281" t="s">
        <v>407</v>
      </c>
      <c r="D222" s="281"/>
      <c r="E222" s="323"/>
      <c r="F222" s="297"/>
      <c r="G222" s="281"/>
      <c r="H222" s="302">
        <v>291360361.17467201</v>
      </c>
      <c r="J222" s="297"/>
      <c r="K222" s="281"/>
      <c r="L222" s="330">
        <v>305213965.25971144</v>
      </c>
      <c r="M222" s="237"/>
    </row>
    <row r="223" spans="1:13">
      <c r="A223" s="242">
        <f t="shared" si="3"/>
        <v>217</v>
      </c>
      <c r="B223" s="322"/>
      <c r="C223" s="281"/>
      <c r="D223" s="281"/>
      <c r="E223" s="323"/>
      <c r="F223" s="281"/>
      <c r="G223" s="281"/>
      <c r="H223" s="281"/>
      <c r="J223" s="281"/>
      <c r="K223" s="281"/>
      <c r="L223" s="329"/>
      <c r="M223" s="237"/>
    </row>
    <row r="224" spans="1:13">
      <c r="A224" s="242">
        <f t="shared" si="3"/>
        <v>218</v>
      </c>
      <c r="B224" s="322"/>
      <c r="C224" s="281" t="s">
        <v>408</v>
      </c>
      <c r="D224" s="281"/>
      <c r="E224" s="323"/>
      <c r="F224" s="281"/>
      <c r="G224" s="281"/>
      <c r="H224" s="281"/>
      <c r="J224" s="281"/>
      <c r="K224" s="281"/>
      <c r="L224" s="326">
        <v>305213965.2597115</v>
      </c>
    </row>
    <row r="225" spans="1:12">
      <c r="A225" s="242">
        <f t="shared" si="3"/>
        <v>219</v>
      </c>
      <c r="B225" s="322"/>
      <c r="C225" s="281" t="s">
        <v>91</v>
      </c>
      <c r="D225" s="281"/>
      <c r="E225" s="323"/>
      <c r="F225" s="281"/>
      <c r="G225" s="281"/>
      <c r="H225" s="281"/>
      <c r="J225" s="281"/>
      <c r="K225" s="281"/>
      <c r="L225" s="335">
        <v>0</v>
      </c>
    </row>
    <row r="226" spans="1:12" ht="13.5" thickBot="1">
      <c r="B226" s="336"/>
      <c r="C226" s="324"/>
      <c r="D226" s="324"/>
      <c r="E226" s="324"/>
      <c r="F226" s="324"/>
      <c r="G226" s="324"/>
      <c r="H226" s="324"/>
      <c r="I226" s="324"/>
      <c r="J226" s="324"/>
      <c r="K226" s="324"/>
      <c r="L226" s="337"/>
    </row>
    <row r="229" spans="1:12">
      <c r="H229" s="338"/>
    </row>
  </sheetData>
  <mergeCells count="9">
    <mergeCell ref="A1:L1"/>
    <mergeCell ref="J130:L130"/>
    <mergeCell ref="J166:L166"/>
    <mergeCell ref="J5:L5"/>
    <mergeCell ref="F38:H38"/>
    <mergeCell ref="J38:L38"/>
    <mergeCell ref="J47:L47"/>
    <mergeCell ref="J72:L72"/>
    <mergeCell ref="J93:L93"/>
  </mergeCells>
  <printOptions horizontalCentered="1"/>
  <pageMargins left="0" right="0" top="1" bottom="1" header="0.5" footer="0.5"/>
  <pageSetup scale="69" fitToHeight="0" orientation="portrait" horizontalDpi="1200" verticalDpi="1200" r:id="rId1"/>
  <headerFooter alignWithMargins="0">
    <oddHeader>&amp;RQuestar Gas Company
Docket No. 15-057-13
Exhibit 1.4
Page &amp;P of &amp;N</oddHeader>
  </headerFooter>
  <rowBreaks count="4" manualBreakCount="4">
    <brk id="71" max="11" man="1"/>
    <brk id="128" max="11" man="1"/>
    <brk id="191" max="11" man="1"/>
    <brk id="225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opLeftCell="A46" workbookViewId="0">
      <selection activeCell="M51" sqref="M51"/>
    </sheetView>
  </sheetViews>
  <sheetFormatPr defaultRowHeight="12.75"/>
  <cols>
    <col min="1" max="1" width="4.42578125" style="5" customWidth="1"/>
    <col min="2" max="3" width="9.140625" style="5"/>
    <col min="4" max="4" width="7.42578125" style="5" bestFit="1" customWidth="1"/>
    <col min="5" max="5" width="9.140625" style="5" bestFit="1" customWidth="1"/>
    <col min="6" max="6" width="4.140625" style="5" customWidth="1"/>
    <col min="7" max="7" width="13.28515625" style="5" customWidth="1"/>
    <col min="8" max="8" width="9.5703125" style="5" bestFit="1" customWidth="1"/>
    <col min="9" max="9" width="13.28515625" style="5" customWidth="1"/>
    <col min="10" max="10" width="3" style="5" customWidth="1"/>
    <col min="11" max="11" width="15.28515625" style="5" customWidth="1"/>
    <col min="12" max="12" width="12.140625" style="5" bestFit="1" customWidth="1"/>
    <col min="13" max="15" width="13.7109375" style="5" customWidth="1"/>
    <col min="16" max="16" width="5.140625" customWidth="1"/>
    <col min="17" max="17" width="5.140625" style="201" customWidth="1"/>
    <col min="18" max="18" width="10.42578125" bestFit="1" customWidth="1"/>
    <col min="21" max="21" width="10.42578125" style="201" bestFit="1" customWidth="1"/>
    <col min="22" max="22" width="10.42578125" bestFit="1" customWidth="1"/>
    <col min="23" max="23" width="10.42578125" style="201" bestFit="1" customWidth="1"/>
    <col min="24" max="24" width="10.42578125" bestFit="1" customWidth="1"/>
  </cols>
  <sheetData>
    <row r="1" spans="1:24" ht="15.75">
      <c r="A1" s="358" t="s">
        <v>313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24">
      <c r="A2" s="58"/>
      <c r="B2" s="59"/>
      <c r="C2" s="59"/>
      <c r="D2" s="59"/>
      <c r="E2" s="60"/>
      <c r="F2" s="60"/>
      <c r="G2" s="59"/>
      <c r="H2" s="59"/>
      <c r="I2" s="59"/>
      <c r="J2" s="61"/>
      <c r="K2" s="59"/>
      <c r="L2" s="59"/>
      <c r="M2" s="59"/>
      <c r="N2" s="59"/>
      <c r="O2" s="59"/>
    </row>
    <row r="3" spans="1:24">
      <c r="A3" s="58"/>
      <c r="B3" s="58"/>
      <c r="C3" s="58" t="s">
        <v>62</v>
      </c>
      <c r="D3" s="58" t="s">
        <v>63</v>
      </c>
      <c r="E3" s="224" t="s">
        <v>64</v>
      </c>
      <c r="F3" s="224"/>
      <c r="G3" s="58" t="s">
        <v>77</v>
      </c>
      <c r="H3" s="58" t="s">
        <v>78</v>
      </c>
      <c r="I3" s="58" t="s">
        <v>79</v>
      </c>
      <c r="J3" s="62"/>
      <c r="K3" s="62" t="s">
        <v>80</v>
      </c>
      <c r="L3" s="62" t="s">
        <v>81</v>
      </c>
      <c r="M3" s="62" t="s">
        <v>82</v>
      </c>
      <c r="N3" s="62" t="s">
        <v>83</v>
      </c>
      <c r="O3" s="62" t="s">
        <v>84</v>
      </c>
    </row>
    <row r="4" spans="1:24">
      <c r="A4" s="58"/>
      <c r="B4" s="63" t="s">
        <v>85</v>
      </c>
      <c r="C4" s="64"/>
      <c r="D4" s="64"/>
      <c r="E4" s="65"/>
      <c r="F4" s="65"/>
      <c r="G4" s="359" t="s">
        <v>434</v>
      </c>
      <c r="H4" s="359"/>
      <c r="I4" s="359"/>
      <c r="J4" s="64"/>
      <c r="K4" s="66" t="s">
        <v>86</v>
      </c>
      <c r="L4" s="67"/>
      <c r="M4" s="66" t="s">
        <v>86</v>
      </c>
      <c r="N4" s="66" t="s">
        <v>87</v>
      </c>
      <c r="O4" s="66" t="s">
        <v>88</v>
      </c>
    </row>
    <row r="5" spans="1:24">
      <c r="A5" s="58"/>
      <c r="B5" s="63"/>
      <c r="C5" s="64"/>
      <c r="D5" s="64"/>
      <c r="E5" s="65"/>
      <c r="F5" s="65"/>
      <c r="G5" s="224"/>
      <c r="H5" s="224"/>
      <c r="I5" s="224"/>
      <c r="J5" s="64"/>
      <c r="K5" s="66" t="s">
        <v>89</v>
      </c>
      <c r="L5" s="67" t="s">
        <v>90</v>
      </c>
      <c r="M5" s="66" t="s">
        <v>89</v>
      </c>
      <c r="N5" s="66"/>
      <c r="O5" s="66" t="s">
        <v>91</v>
      </c>
      <c r="R5" t="s">
        <v>220</v>
      </c>
    </row>
    <row r="6" spans="1:24" ht="13.5" thickBot="1">
      <c r="A6" s="58"/>
      <c r="B6" s="68" t="s">
        <v>92</v>
      </c>
      <c r="C6" s="69"/>
      <c r="D6" s="69"/>
      <c r="E6" s="70" t="s">
        <v>93</v>
      </c>
      <c r="F6" s="71"/>
      <c r="G6" s="72" t="s">
        <v>93</v>
      </c>
      <c r="H6" s="72" t="s">
        <v>435</v>
      </c>
      <c r="I6" s="73" t="s">
        <v>95</v>
      </c>
      <c r="J6" s="64"/>
      <c r="K6" s="72" t="s">
        <v>45</v>
      </c>
      <c r="L6" s="72" t="s">
        <v>96</v>
      </c>
      <c r="M6" s="72" t="s">
        <v>97</v>
      </c>
      <c r="N6" s="72"/>
      <c r="O6" s="72"/>
      <c r="R6" t="s">
        <v>221</v>
      </c>
      <c r="T6" t="s">
        <v>222</v>
      </c>
      <c r="V6" t="s">
        <v>223</v>
      </c>
      <c r="X6" t="s">
        <v>224</v>
      </c>
    </row>
    <row r="7" spans="1:24">
      <c r="A7" s="58">
        <v>1</v>
      </c>
      <c r="B7" s="74" t="s">
        <v>98</v>
      </c>
      <c r="C7" s="74" t="s">
        <v>99</v>
      </c>
      <c r="D7" s="74" t="s">
        <v>100</v>
      </c>
      <c r="E7" s="75">
        <v>45</v>
      </c>
      <c r="F7" s="75"/>
      <c r="G7" s="76">
        <v>57430625</v>
      </c>
      <c r="H7" s="77">
        <f>'Exhibit 1.4 Base Rates'!K7</f>
        <v>2.3494900953154665</v>
      </c>
      <c r="I7" s="78">
        <f>ROUND(G7*H7,0)</f>
        <v>134932685</v>
      </c>
      <c r="J7" s="79"/>
      <c r="K7" s="76">
        <f ca="1">M7*G7</f>
        <v>3208649.0187500003</v>
      </c>
      <c r="L7" s="80">
        <f ca="1">L12</f>
        <v>2.3777976754652742E-2</v>
      </c>
      <c r="M7" s="81">
        <f ca="1">ROUND(L7*H7,5)</f>
        <v>5.5870000000000003E-2</v>
      </c>
      <c r="N7" s="81">
        <v>4.444E-2</v>
      </c>
      <c r="O7" s="81">
        <f ca="1">M7-N7</f>
        <v>1.1430000000000003E-2</v>
      </c>
      <c r="Q7" s="200"/>
      <c r="R7" s="204">
        <v>2.6872199999999999</v>
      </c>
      <c r="S7" s="81"/>
      <c r="T7" s="81">
        <f ca="1">R7+O7</f>
        <v>2.6986499999999998</v>
      </c>
      <c r="U7" s="200"/>
      <c r="V7" s="81">
        <v>8.2108399999999993</v>
      </c>
      <c r="W7" s="200"/>
      <c r="X7" s="195">
        <f ca="1">V7+O7</f>
        <v>8.22227</v>
      </c>
    </row>
    <row r="8" spans="1:24">
      <c r="A8" s="58">
        <f>A7+1</f>
        <v>2</v>
      </c>
      <c r="B8" s="74"/>
      <c r="C8" s="74" t="s">
        <v>101</v>
      </c>
      <c r="D8" s="74" t="s">
        <v>257</v>
      </c>
      <c r="E8" s="75">
        <v>45</v>
      </c>
      <c r="F8" s="75"/>
      <c r="G8" s="76">
        <v>16164975</v>
      </c>
      <c r="H8" s="77">
        <f>'Exhibit 1.4 Base Rates'!K8</f>
        <v>1.3494900953154665</v>
      </c>
      <c r="I8" s="78">
        <f>ROUND(G8*H8,0)</f>
        <v>21814474</v>
      </c>
      <c r="J8" s="82"/>
      <c r="K8" s="76">
        <f ca="1">M8*G8</f>
        <v>518734.04775000003</v>
      </c>
      <c r="L8" s="80">
        <f ca="1">L12</f>
        <v>2.3777976754652742E-2</v>
      </c>
      <c r="M8" s="81">
        <f ca="1">ROUND(L8*H8,5)</f>
        <v>3.209E-2</v>
      </c>
      <c r="N8" s="81">
        <v>2.5569999999999999E-2</v>
      </c>
      <c r="O8" s="81">
        <f ca="1">M8-N8</f>
        <v>6.5200000000000015E-3</v>
      </c>
      <c r="Q8" s="200"/>
      <c r="R8" s="204">
        <v>1.6551499999999999</v>
      </c>
      <c r="S8" s="81"/>
      <c r="T8" s="81">
        <f ca="1">R8+O8</f>
        <v>1.66167</v>
      </c>
      <c r="U8" s="200"/>
      <c r="V8" s="81">
        <v>7.1787700000000001</v>
      </c>
      <c r="W8" s="200"/>
      <c r="X8" s="195">
        <f ca="1">V8+O8</f>
        <v>7.1852900000000002</v>
      </c>
    </row>
    <row r="9" spans="1:24">
      <c r="A9" s="58"/>
      <c r="B9" s="83"/>
      <c r="C9" s="74"/>
      <c r="D9" s="74"/>
      <c r="E9" s="84"/>
      <c r="F9" s="84"/>
      <c r="G9" s="76"/>
      <c r="H9" s="77"/>
      <c r="I9" s="78"/>
      <c r="J9" s="82"/>
      <c r="K9" s="76"/>
      <c r="L9" s="77"/>
      <c r="M9" s="78"/>
      <c r="N9" s="78"/>
      <c r="O9" s="78"/>
      <c r="Q9" s="200"/>
      <c r="R9" s="81"/>
      <c r="S9" s="81"/>
      <c r="T9" s="81"/>
      <c r="U9" s="200"/>
      <c r="V9" s="81"/>
      <c r="W9" s="200"/>
    </row>
    <row r="10" spans="1:24">
      <c r="A10" s="58">
        <f>A8+1</f>
        <v>3</v>
      </c>
      <c r="B10" s="85" t="s">
        <v>103</v>
      </c>
      <c r="C10" s="74" t="s">
        <v>99</v>
      </c>
      <c r="D10" s="74" t="str">
        <f>D7</f>
        <v>First</v>
      </c>
      <c r="E10" s="84">
        <f>E7</f>
        <v>45</v>
      </c>
      <c r="F10" s="84"/>
      <c r="G10" s="76">
        <v>24081117</v>
      </c>
      <c r="H10" s="77">
        <f>'Exhibit 1.4 Base Rates'!K11</f>
        <v>1.7266954328012654</v>
      </c>
      <c r="I10" s="76">
        <f>ROUND(G10*H10,0)</f>
        <v>41580755</v>
      </c>
      <c r="J10" s="82"/>
      <c r="K10" s="76">
        <f ca="1">M10*G10</f>
        <v>988770.66402000003</v>
      </c>
      <c r="L10" s="80">
        <f ca="1">L12</f>
        <v>2.3777976754652742E-2</v>
      </c>
      <c r="M10" s="81">
        <f ca="1">ROUND(L10*H10,5)</f>
        <v>4.1059999999999999E-2</v>
      </c>
      <c r="N10" s="81">
        <v>3.2689999999999997E-2</v>
      </c>
      <c r="O10" s="81">
        <f ca="1">M10-N10</f>
        <v>8.3700000000000024E-3</v>
      </c>
      <c r="Q10" s="200"/>
      <c r="R10" s="204">
        <v>2.0444499999999999</v>
      </c>
      <c r="S10" s="81"/>
      <c r="T10" s="81">
        <f ca="1">R10+O10</f>
        <v>2.0528200000000001</v>
      </c>
      <c r="U10" s="200"/>
      <c r="V10" s="204">
        <v>6.9034599999999999</v>
      </c>
      <c r="W10" s="200"/>
      <c r="X10" s="195">
        <f ca="1">V10+O10</f>
        <v>6.9118300000000001</v>
      </c>
    </row>
    <row r="11" spans="1:24">
      <c r="A11" s="58">
        <f>A10+1</f>
        <v>4</v>
      </c>
      <c r="B11" s="85"/>
      <c r="C11" s="74" t="s">
        <v>101</v>
      </c>
      <c r="D11" s="74" t="str">
        <f>D8</f>
        <v>Over</v>
      </c>
      <c r="E11" s="84">
        <f>E8</f>
        <v>45</v>
      </c>
      <c r="F11" s="84"/>
      <c r="G11" s="76">
        <v>4601301</v>
      </c>
      <c r="H11" s="77">
        <f>'Exhibit 1.4 Base Rates'!K12</f>
        <v>0.72669543280126536</v>
      </c>
      <c r="I11" s="76">
        <f>ROUND(G11*H11,0)</f>
        <v>3343744</v>
      </c>
      <c r="J11" s="82"/>
      <c r="K11" s="76">
        <f ca="1">M11*G11</f>
        <v>79510.481280000007</v>
      </c>
      <c r="L11" s="80">
        <f ca="1">L12</f>
        <v>2.3777976754652742E-2</v>
      </c>
      <c r="M11" s="81">
        <f ca="1">ROUND(L11*H11,5)</f>
        <v>1.728E-2</v>
      </c>
      <c r="N11" s="81">
        <v>1.3809999999999999E-2</v>
      </c>
      <c r="O11" s="81">
        <f ca="1">M11-N11</f>
        <v>3.4700000000000009E-3</v>
      </c>
      <c r="Q11" s="200"/>
      <c r="R11" s="204">
        <v>1.01237</v>
      </c>
      <c r="S11" s="81"/>
      <c r="T11" s="81">
        <f ca="1">R11+O11</f>
        <v>1.0158400000000001</v>
      </c>
      <c r="U11" s="200"/>
      <c r="V11" s="204">
        <v>5.8713800000000003</v>
      </c>
      <c r="W11" s="200"/>
      <c r="X11" s="195">
        <f ca="1">V11+O11</f>
        <v>5.8748500000000003</v>
      </c>
    </row>
    <row r="12" spans="1:24" ht="13.5" thickBot="1">
      <c r="A12" s="58">
        <f>A11+1</f>
        <v>5</v>
      </c>
      <c r="B12" s="86" t="s">
        <v>104</v>
      </c>
      <c r="C12" s="59"/>
      <c r="D12" s="74"/>
      <c r="E12" s="84"/>
      <c r="F12" s="84"/>
      <c r="G12" s="87">
        <f>SUM(G10:G11,G7:G8)</f>
        <v>102278018</v>
      </c>
      <c r="H12" s="88"/>
      <c r="I12" s="87">
        <f>SUM(I7:I11)</f>
        <v>201671658</v>
      </c>
      <c r="J12" s="89"/>
      <c r="K12" s="87">
        <f ca="1">'Exhibit 1.3 COS'!K9</f>
        <v>4795343.9959962778</v>
      </c>
      <c r="L12" s="90">
        <f ca="1">K12/I12</f>
        <v>2.3777976754652742E-2</v>
      </c>
      <c r="M12" s="87"/>
      <c r="N12" s="87"/>
      <c r="O12" s="87"/>
      <c r="Q12" s="200"/>
      <c r="R12" s="81"/>
      <c r="S12" s="81"/>
      <c r="T12" s="81"/>
      <c r="U12" s="200"/>
      <c r="V12" s="81"/>
      <c r="W12" s="200"/>
    </row>
    <row r="13" spans="1:24" ht="14.25" thickTop="1" thickBot="1">
      <c r="A13" s="58"/>
      <c r="B13" s="96"/>
      <c r="C13" s="96"/>
      <c r="D13" s="96"/>
      <c r="E13" s="97"/>
      <c r="F13" s="65"/>
      <c r="G13" s="98"/>
      <c r="H13" s="96"/>
      <c r="I13" s="98"/>
      <c r="J13" s="98"/>
      <c r="K13" s="98"/>
      <c r="L13" s="98"/>
      <c r="M13" s="98"/>
      <c r="N13" s="98"/>
      <c r="O13" s="98"/>
      <c r="Q13" s="200"/>
      <c r="R13" s="81"/>
      <c r="S13" s="81"/>
      <c r="T13" s="81"/>
      <c r="U13" s="200"/>
      <c r="V13" s="81"/>
      <c r="W13" s="200"/>
    </row>
    <row r="14" spans="1:24">
      <c r="A14" s="58"/>
      <c r="B14" s="64"/>
      <c r="C14" s="64"/>
      <c r="D14" s="64"/>
      <c r="E14" s="65"/>
      <c r="F14" s="65"/>
      <c r="G14" s="99"/>
      <c r="H14" s="64"/>
      <c r="I14" s="99"/>
      <c r="J14" s="99"/>
      <c r="K14" s="66" t="s">
        <v>86</v>
      </c>
      <c r="L14" s="99"/>
      <c r="M14" s="66" t="s">
        <v>86</v>
      </c>
      <c r="N14" s="66" t="s">
        <v>87</v>
      </c>
      <c r="O14" s="66"/>
      <c r="Q14" s="200"/>
      <c r="R14" s="81"/>
      <c r="S14" s="81"/>
      <c r="T14" s="81"/>
      <c r="U14" s="200"/>
      <c r="V14" s="81"/>
      <c r="W14" s="200"/>
    </row>
    <row r="15" spans="1:24">
      <c r="A15" s="58"/>
      <c r="B15" s="63" t="s">
        <v>105</v>
      </c>
      <c r="C15" s="64"/>
      <c r="D15" s="64"/>
      <c r="E15" s="65"/>
      <c r="F15" s="65"/>
      <c r="G15" s="359" t="s">
        <v>434</v>
      </c>
      <c r="H15" s="359"/>
      <c r="I15" s="359"/>
      <c r="J15" s="64"/>
      <c r="K15" s="66" t="s">
        <v>89</v>
      </c>
      <c r="L15" s="67" t="s">
        <v>106</v>
      </c>
      <c r="M15" s="66" t="s">
        <v>89</v>
      </c>
      <c r="N15" s="66"/>
      <c r="O15" s="66"/>
      <c r="Q15" s="200"/>
      <c r="R15" s="81"/>
      <c r="S15" s="81"/>
      <c r="T15" s="81"/>
      <c r="U15" s="200"/>
      <c r="V15" s="81"/>
      <c r="W15" s="200"/>
    </row>
    <row r="16" spans="1:24" ht="13.5" thickBot="1">
      <c r="A16" s="58"/>
      <c r="B16" s="68" t="s">
        <v>92</v>
      </c>
      <c r="C16" s="69"/>
      <c r="D16" s="69"/>
      <c r="E16" s="70" t="s">
        <v>93</v>
      </c>
      <c r="F16" s="71"/>
      <c r="G16" s="72" t="s">
        <v>93</v>
      </c>
      <c r="H16" s="72" t="s">
        <v>435</v>
      </c>
      <c r="I16" s="73" t="s">
        <v>95</v>
      </c>
      <c r="J16" s="64"/>
      <c r="K16" s="72" t="s">
        <v>45</v>
      </c>
      <c r="L16" s="72" t="s">
        <v>96</v>
      </c>
      <c r="M16" s="72" t="s">
        <v>97</v>
      </c>
      <c r="N16" s="72"/>
      <c r="O16" s="72"/>
      <c r="Q16" s="200"/>
      <c r="R16" s="81"/>
      <c r="S16" s="81"/>
      <c r="T16" s="81"/>
      <c r="U16" s="200"/>
      <c r="V16" s="81"/>
      <c r="W16" s="200"/>
    </row>
    <row r="17" spans="1:24">
      <c r="A17" s="58">
        <f>A12+1</f>
        <v>6</v>
      </c>
      <c r="B17" s="100" t="s">
        <v>107</v>
      </c>
      <c r="C17" s="74"/>
      <c r="D17" s="74" t="s">
        <v>108</v>
      </c>
      <c r="E17" s="84">
        <v>0</v>
      </c>
      <c r="F17" s="84"/>
      <c r="G17" s="76">
        <v>619877</v>
      </c>
      <c r="H17" s="77">
        <f>'Exhibit 1.4 Base Rates'!K40</f>
        <v>5.4220733027292614</v>
      </c>
      <c r="I17" s="76">
        <f>ROUND(G17*H17,0)</f>
        <v>3361019</v>
      </c>
      <c r="J17" s="82"/>
      <c r="K17" s="76">
        <f ca="1">'Exhibit 1.3 COS'!K11</f>
        <v>64322.203816368565</v>
      </c>
      <c r="L17" s="101">
        <f ca="1">K17/I17</f>
        <v>1.9137709074649255E-2</v>
      </c>
      <c r="M17" s="81">
        <f ca="1">ROUND(L17*H17,5)</f>
        <v>0.10377</v>
      </c>
      <c r="N17" s="81">
        <v>7.3090000000000002E-2</v>
      </c>
      <c r="O17" s="81">
        <f ca="1">M17-N17</f>
        <v>3.0679999999999999E-2</v>
      </c>
      <c r="Q17" s="200"/>
      <c r="R17" s="204">
        <v>5.5258799999999999</v>
      </c>
      <c r="S17" s="81"/>
      <c r="T17" s="81">
        <f ca="1">R17+O17</f>
        <v>5.5565600000000002</v>
      </c>
      <c r="U17" s="200"/>
      <c r="V17" s="81">
        <v>10.70074</v>
      </c>
      <c r="W17" s="200"/>
      <c r="X17" s="195">
        <f ca="1">V17+O17</f>
        <v>10.73142</v>
      </c>
    </row>
    <row r="18" spans="1:24">
      <c r="A18" s="58"/>
      <c r="B18" s="100"/>
      <c r="C18" s="74"/>
      <c r="D18" s="74"/>
      <c r="E18" s="84"/>
      <c r="F18" s="84"/>
      <c r="G18" s="76"/>
      <c r="H18" s="77"/>
      <c r="I18" s="76"/>
      <c r="J18" s="82"/>
      <c r="K18" s="76"/>
      <c r="L18" s="102"/>
      <c r="M18" s="81"/>
      <c r="N18" s="81"/>
      <c r="O18" s="81"/>
      <c r="Q18" s="200"/>
      <c r="R18" s="81"/>
      <c r="S18" s="81"/>
      <c r="T18" s="81"/>
      <c r="U18" s="200"/>
      <c r="V18" s="81"/>
      <c r="W18" s="200"/>
    </row>
    <row r="19" spans="1:24" ht="13.5" thickBot="1">
      <c r="A19" s="58"/>
      <c r="B19" s="97"/>
      <c r="C19" s="97"/>
      <c r="D19" s="97"/>
      <c r="E19" s="97"/>
      <c r="F19" s="65"/>
      <c r="G19" s="103"/>
      <c r="H19" s="104"/>
      <c r="I19" s="104"/>
      <c r="J19" s="64"/>
      <c r="K19" s="103"/>
      <c r="L19" s="104"/>
      <c r="M19" s="104"/>
      <c r="N19" s="104"/>
      <c r="O19" s="104"/>
      <c r="Q19" s="200"/>
      <c r="R19" s="81"/>
      <c r="S19" s="81"/>
      <c r="T19" s="81"/>
      <c r="U19" s="200"/>
      <c r="V19" s="81"/>
      <c r="W19" s="200"/>
    </row>
    <row r="20" spans="1:24">
      <c r="A20" s="58"/>
      <c r="B20" s="65"/>
      <c r="C20" s="65"/>
      <c r="D20" s="65"/>
      <c r="E20" s="65"/>
      <c r="F20" s="65"/>
      <c r="G20" s="105"/>
      <c r="H20" s="106"/>
      <c r="I20" s="106"/>
      <c r="J20" s="64"/>
      <c r="K20" s="66" t="s">
        <v>86</v>
      </c>
      <c r="L20" s="106"/>
      <c r="M20" s="66" t="s">
        <v>86</v>
      </c>
      <c r="N20" s="66" t="s">
        <v>87</v>
      </c>
      <c r="O20" s="66"/>
      <c r="Q20" s="200"/>
      <c r="R20" s="81"/>
      <c r="S20" s="81"/>
      <c r="T20" s="81"/>
      <c r="U20" s="200"/>
      <c r="V20" s="81"/>
      <c r="W20" s="200"/>
    </row>
    <row r="21" spans="1:24">
      <c r="A21" s="58"/>
      <c r="B21" s="63" t="s">
        <v>109</v>
      </c>
      <c r="C21" s="65"/>
      <c r="D21" s="65"/>
      <c r="E21" s="65"/>
      <c r="F21" s="66"/>
      <c r="G21" s="359" t="s">
        <v>434</v>
      </c>
      <c r="H21" s="359"/>
      <c r="I21" s="359"/>
      <c r="J21" s="64"/>
      <c r="K21" s="66" t="s">
        <v>89</v>
      </c>
      <c r="L21" s="67" t="s">
        <v>106</v>
      </c>
      <c r="M21" s="66" t="s">
        <v>89</v>
      </c>
      <c r="N21" s="66"/>
      <c r="O21" s="66"/>
      <c r="Q21" s="200"/>
      <c r="R21" s="81"/>
      <c r="S21" s="81"/>
      <c r="T21" s="81"/>
      <c r="U21" s="200"/>
      <c r="V21" s="81"/>
      <c r="W21" s="200"/>
    </row>
    <row r="22" spans="1:24" ht="13.5" thickBot="1">
      <c r="A22" s="58"/>
      <c r="B22" s="68" t="s">
        <v>92</v>
      </c>
      <c r="C22" s="69"/>
      <c r="D22" s="69"/>
      <c r="E22" s="70" t="s">
        <v>93</v>
      </c>
      <c r="F22" s="71"/>
      <c r="G22" s="72" t="s">
        <v>93</v>
      </c>
      <c r="H22" s="72" t="s">
        <v>435</v>
      </c>
      <c r="I22" s="73" t="s">
        <v>95</v>
      </c>
      <c r="J22" s="64"/>
      <c r="K22" s="72" t="s">
        <v>45</v>
      </c>
      <c r="L22" s="72" t="s">
        <v>96</v>
      </c>
      <c r="M22" s="72" t="s">
        <v>97</v>
      </c>
      <c r="N22" s="72"/>
      <c r="O22" s="72"/>
      <c r="Q22" s="200"/>
      <c r="R22" s="81"/>
      <c r="S22" s="81"/>
      <c r="T22" s="81"/>
      <c r="U22" s="200"/>
      <c r="V22" s="81"/>
      <c r="W22" s="200"/>
    </row>
    <row r="23" spans="1:24">
      <c r="A23" s="58">
        <f>A17+1</f>
        <v>7</v>
      </c>
      <c r="B23" s="74" t="s">
        <v>98</v>
      </c>
      <c r="C23" s="74" t="s">
        <v>99</v>
      </c>
      <c r="D23" s="74" t="s">
        <v>100</v>
      </c>
      <c r="E23" s="84">
        <v>200</v>
      </c>
      <c r="F23" s="84"/>
      <c r="G23" s="76">
        <v>552744</v>
      </c>
      <c r="H23" s="77">
        <f>'Exhibit 1.4 Base Rates'!K49</f>
        <v>1.2457212331849348</v>
      </c>
      <c r="I23" s="76">
        <f>ROUND(G23*H23,0)</f>
        <v>688565</v>
      </c>
      <c r="J23" s="82"/>
      <c r="K23" s="76">
        <f ca="1">M23*G23</f>
        <v>13326.65784</v>
      </c>
      <c r="L23" s="107">
        <f ca="1">L30</f>
        <v>1.9354844640113486E-2</v>
      </c>
      <c r="M23" s="77">
        <f t="shared" ref="M23:M29" ca="1" si="0">ROUND(L23*H23,5)</f>
        <v>2.4109999999999999E-2</v>
      </c>
      <c r="N23" s="77">
        <v>1.89E-2</v>
      </c>
      <c r="O23" s="77">
        <f ca="1">M23-N23</f>
        <v>5.2099999999999994E-3</v>
      </c>
      <c r="Q23" s="200"/>
      <c r="R23" s="204">
        <v>1.27647</v>
      </c>
      <c r="S23" s="81"/>
      <c r="T23" s="81">
        <f ca="1">R23+O23</f>
        <v>1.2816799999999999</v>
      </c>
      <c r="U23" s="200"/>
      <c r="V23" s="81">
        <v>6.7674599999999998</v>
      </c>
      <c r="W23" s="200"/>
      <c r="X23" s="195">
        <f ca="1">V23+O23</f>
        <v>6.7726699999999997</v>
      </c>
    </row>
    <row r="24" spans="1:24">
      <c r="A24" s="58">
        <f>A23+1</f>
        <v>8</v>
      </c>
      <c r="B24" s="83"/>
      <c r="C24" s="74" t="s">
        <v>101</v>
      </c>
      <c r="D24" s="74" t="s">
        <v>102</v>
      </c>
      <c r="E24" s="84">
        <v>1800</v>
      </c>
      <c r="F24" s="84"/>
      <c r="G24" s="76">
        <v>1264800</v>
      </c>
      <c r="H24" s="77">
        <f>'Exhibit 1.4 Base Rates'!K50</f>
        <v>0.86572123318493477</v>
      </c>
      <c r="I24" s="76">
        <f>ROUND(G24*H24,0)</f>
        <v>1094964</v>
      </c>
      <c r="J24" s="82"/>
      <c r="K24" s="76">
        <f ca="1">M24*G24</f>
        <v>21198.048000000003</v>
      </c>
      <c r="L24" s="107">
        <f ca="1">L30</f>
        <v>1.9354844640113486E-2</v>
      </c>
      <c r="M24" s="77">
        <f t="shared" ca="1" si="0"/>
        <v>1.6760000000000001E-2</v>
      </c>
      <c r="N24" s="77">
        <v>1.3140000000000001E-2</v>
      </c>
      <c r="O24" s="77">
        <f ca="1">M24-N24</f>
        <v>3.62E-3</v>
      </c>
      <c r="Q24" s="200"/>
      <c r="R24" s="204">
        <v>0.89071</v>
      </c>
      <c r="S24" s="81"/>
      <c r="T24" s="81">
        <f t="shared" ref="T24:T25" ca="1" si="1">R24+O24</f>
        <v>0.89432999999999996</v>
      </c>
      <c r="U24" s="200"/>
      <c r="V24" s="81">
        <v>6.3817000000000004</v>
      </c>
      <c r="W24" s="200"/>
      <c r="X24" s="195">
        <f t="shared" ref="X24:X25" ca="1" si="2">V24+O24</f>
        <v>6.3853200000000001</v>
      </c>
    </row>
    <row r="25" spans="1:24">
      <c r="A25" s="58">
        <f>A24+1</f>
        <v>9</v>
      </c>
      <c r="B25" s="83"/>
      <c r="C25" s="74" t="s">
        <v>110</v>
      </c>
      <c r="D25" s="74" t="s">
        <v>108</v>
      </c>
      <c r="E25" s="84">
        <v>2000</v>
      </c>
      <c r="F25" s="84"/>
      <c r="G25" s="76">
        <v>683247</v>
      </c>
      <c r="H25" s="77">
        <f>'Exhibit 1.4 Base Rates'!K51</f>
        <v>0.46572123318493475</v>
      </c>
      <c r="I25" s="76">
        <f>ROUND(G25*H25,0)</f>
        <v>318203</v>
      </c>
      <c r="J25" s="82"/>
      <c r="K25" s="76">
        <f ca="1">M25*G25</f>
        <v>6156.0554700000002</v>
      </c>
      <c r="L25" s="107">
        <f ca="1">L30</f>
        <v>1.9354844640113486E-2</v>
      </c>
      <c r="M25" s="77">
        <f t="shared" ca="1" si="0"/>
        <v>9.0100000000000006E-3</v>
      </c>
      <c r="N25" s="77">
        <v>7.0800000000000004E-3</v>
      </c>
      <c r="O25" s="77">
        <f ca="1">M25-N25</f>
        <v>1.9300000000000003E-3</v>
      </c>
      <c r="Q25" s="200"/>
      <c r="R25" s="204">
        <v>0.48465000000000003</v>
      </c>
      <c r="S25" s="81"/>
      <c r="T25" s="81">
        <f t="shared" ca="1" si="1"/>
        <v>0.48658000000000001</v>
      </c>
      <c r="U25" s="200"/>
      <c r="V25" s="81">
        <v>5.9756400000000003</v>
      </c>
      <c r="W25" s="200"/>
      <c r="X25" s="195">
        <f t="shared" ca="1" si="2"/>
        <v>5.9775700000000001</v>
      </c>
    </row>
    <row r="26" spans="1:24">
      <c r="A26" s="58"/>
      <c r="B26" s="83" t="s">
        <v>111</v>
      </c>
      <c r="C26" s="74"/>
      <c r="D26" s="74"/>
      <c r="E26" s="84"/>
      <c r="F26" s="84"/>
      <c r="G26" s="76"/>
      <c r="H26" s="108"/>
      <c r="I26" s="78"/>
      <c r="J26" s="82"/>
      <c r="K26" s="76"/>
      <c r="L26" s="107"/>
      <c r="M26" s="77"/>
      <c r="N26" s="77"/>
      <c r="O26" s="77"/>
      <c r="Q26" s="200"/>
      <c r="R26" s="81"/>
      <c r="S26" s="81"/>
      <c r="T26" s="81"/>
      <c r="U26" s="200"/>
      <c r="V26" s="81"/>
      <c r="W26" s="200"/>
    </row>
    <row r="27" spans="1:24">
      <c r="A27" s="58">
        <f>A25+1</f>
        <v>10</v>
      </c>
      <c r="B27" s="85" t="s">
        <v>103</v>
      </c>
      <c r="C27" s="74" t="s">
        <v>99</v>
      </c>
      <c r="D27" s="74" t="str">
        <f t="shared" ref="D27:E27" si="3">D23</f>
        <v>First</v>
      </c>
      <c r="E27" s="84">
        <f t="shared" si="3"/>
        <v>200</v>
      </c>
      <c r="F27" s="84"/>
      <c r="G27" s="76">
        <v>728635</v>
      </c>
      <c r="H27" s="77">
        <f>'Exhibit 1.4 Base Rates'!K53</f>
        <v>0.8193675788285133</v>
      </c>
      <c r="I27" s="76">
        <f>ROUND(G27*H27,0)</f>
        <v>597020</v>
      </c>
      <c r="J27" s="82"/>
      <c r="K27" s="76">
        <f ca="1">M27*G27</f>
        <v>11556.151099999999</v>
      </c>
      <c r="L27" s="107">
        <f ca="1">L30</f>
        <v>1.9354844640113486E-2</v>
      </c>
      <c r="M27" s="77">
        <f t="shared" ca="1" si="0"/>
        <v>1.5859999999999999E-2</v>
      </c>
      <c r="N27" s="77">
        <v>1.244E-2</v>
      </c>
      <c r="O27" s="77">
        <f ca="1">M27-N27</f>
        <v>3.4199999999999994E-3</v>
      </c>
      <c r="Q27" s="200"/>
      <c r="R27" s="204">
        <v>0.84365999999999997</v>
      </c>
      <c r="S27" s="81"/>
      <c r="T27" s="81">
        <f ca="1">R27+O27</f>
        <v>0.84707999999999994</v>
      </c>
      <c r="U27" s="200"/>
      <c r="V27" s="81">
        <v>5.7026700000000003</v>
      </c>
      <c r="W27" s="200"/>
      <c r="X27" s="195">
        <f ca="1">V27+O27</f>
        <v>5.7060900000000006</v>
      </c>
    </row>
    <row r="28" spans="1:24">
      <c r="A28" s="58">
        <f>A27+1</f>
        <v>11</v>
      </c>
      <c r="B28" s="85"/>
      <c r="C28" s="74" t="s">
        <v>101</v>
      </c>
      <c r="D28" s="74" t="str">
        <f>D24</f>
        <v>Next</v>
      </c>
      <c r="E28" s="84">
        <f>E24</f>
        <v>1800</v>
      </c>
      <c r="F28" s="84"/>
      <c r="G28" s="76">
        <v>1265336</v>
      </c>
      <c r="H28" s="77">
        <f>'Exhibit 1.4 Base Rates'!K54</f>
        <v>0.43936757882851329</v>
      </c>
      <c r="I28" s="76">
        <f>ROUND(G28*H28,0)</f>
        <v>555948</v>
      </c>
      <c r="J28" s="82"/>
      <c r="K28" s="76">
        <f ca="1">M28*G28</f>
        <v>10755.356000000002</v>
      </c>
      <c r="L28" s="107">
        <f ca="1">L30</f>
        <v>1.9354844640113486E-2</v>
      </c>
      <c r="M28" s="77">
        <f t="shared" ca="1" si="0"/>
        <v>8.5000000000000006E-3</v>
      </c>
      <c r="N28" s="77">
        <v>6.6800000000000002E-3</v>
      </c>
      <c r="O28" s="77">
        <f ca="1">M28-N28</f>
        <v>1.8200000000000004E-3</v>
      </c>
      <c r="Q28" s="200"/>
      <c r="R28" s="204">
        <v>0.45789999999999997</v>
      </c>
      <c r="S28" s="81"/>
      <c r="T28" s="81">
        <f t="shared" ref="T28:T29" ca="1" si="4">R28+O28</f>
        <v>0.45971999999999996</v>
      </c>
      <c r="U28" s="200"/>
      <c r="V28" s="81">
        <v>5.31691</v>
      </c>
      <c r="W28" s="200"/>
      <c r="X28" s="195">
        <f t="shared" ref="X28" ca="1" si="5">V28+O28</f>
        <v>5.3187300000000004</v>
      </c>
    </row>
    <row r="29" spans="1:24">
      <c r="A29" s="58">
        <f>A28+1</f>
        <v>12</v>
      </c>
      <c r="B29" s="85"/>
      <c r="C29" s="74" t="s">
        <v>110</v>
      </c>
      <c r="D29" s="74" t="str">
        <f>D25</f>
        <v>All Over</v>
      </c>
      <c r="E29" s="84">
        <f>E25</f>
        <v>2000</v>
      </c>
      <c r="F29" s="84"/>
      <c r="G29" s="76">
        <v>406365</v>
      </c>
      <c r="H29" s="77">
        <f>'Exhibit 1.4 Base Rates'!K55</f>
        <v>3.9367578828513272E-2</v>
      </c>
      <c r="I29" s="76">
        <f>ROUND(G29*H29,0)</f>
        <v>15998</v>
      </c>
      <c r="J29" s="82"/>
      <c r="K29" s="76">
        <f ca="1">M29*G29</f>
        <v>308.8374</v>
      </c>
      <c r="L29" s="107">
        <f ca="1">L30</f>
        <v>1.9354844640113486E-2</v>
      </c>
      <c r="M29" s="77">
        <f t="shared" ca="1" si="0"/>
        <v>7.6000000000000004E-4</v>
      </c>
      <c r="N29" s="77">
        <v>6.2E-4</v>
      </c>
      <c r="O29" s="77">
        <f ca="1">M29-N29</f>
        <v>1.4000000000000004E-4</v>
      </c>
      <c r="Q29" s="200"/>
      <c r="R29" s="204">
        <v>5.1839999999999997E-2</v>
      </c>
      <c r="S29" s="81"/>
      <c r="T29" s="81">
        <f t="shared" ca="1" si="4"/>
        <v>5.1979999999999998E-2</v>
      </c>
      <c r="U29" s="200"/>
      <c r="V29" s="81">
        <v>4.9108499999999999</v>
      </c>
      <c r="W29" s="200"/>
      <c r="X29" s="195">
        <f ca="1">V29+O29</f>
        <v>4.91099</v>
      </c>
    </row>
    <row r="30" spans="1:24">
      <c r="A30" s="58">
        <f>A29+1</f>
        <v>13</v>
      </c>
      <c r="B30" s="86" t="s">
        <v>104</v>
      </c>
      <c r="C30" s="59"/>
      <c r="D30" s="74"/>
      <c r="E30" s="84"/>
      <c r="F30" s="84"/>
      <c r="G30" s="109">
        <f>SUM(G23:G29)</f>
        <v>4901127</v>
      </c>
      <c r="H30" s="110"/>
      <c r="I30" s="109">
        <f>SUM(I23:I29)</f>
        <v>3270698</v>
      </c>
      <c r="J30" s="82"/>
      <c r="K30" s="109">
        <f ca="1">'Exhibit 1.3 COS'!K10</f>
        <v>63303.8516547299</v>
      </c>
      <c r="L30" s="101">
        <f ca="1">K30/I30</f>
        <v>1.9354844640113486E-2</v>
      </c>
      <c r="M30" s="109"/>
      <c r="N30" s="109"/>
      <c r="O30" s="109"/>
      <c r="Q30" s="200"/>
      <c r="R30" s="81"/>
      <c r="S30" s="81"/>
      <c r="T30" s="81"/>
      <c r="U30" s="200"/>
      <c r="V30" s="81"/>
      <c r="W30" s="200"/>
    </row>
    <row r="31" spans="1:24">
      <c r="A31" s="58"/>
      <c r="B31" s="86"/>
      <c r="C31" s="59"/>
      <c r="D31" s="74"/>
      <c r="E31" s="84"/>
      <c r="F31" s="84"/>
      <c r="G31" s="111"/>
      <c r="H31" s="112"/>
      <c r="I31" s="111"/>
      <c r="J31" s="82"/>
      <c r="K31" s="111"/>
      <c r="L31" s="102"/>
      <c r="M31" s="111"/>
      <c r="N31" s="111"/>
      <c r="O31" s="111"/>
      <c r="Q31" s="200"/>
      <c r="R31" s="81"/>
      <c r="S31" s="81"/>
      <c r="T31" s="81"/>
      <c r="U31" s="200"/>
      <c r="V31" s="81"/>
      <c r="W31" s="200"/>
    </row>
    <row r="32" spans="1:24" ht="13.5" thickBot="1">
      <c r="A32" s="58"/>
      <c r="B32" s="96"/>
      <c r="C32" s="96"/>
      <c r="D32" s="96"/>
      <c r="E32" s="97"/>
      <c r="F32" s="65"/>
      <c r="G32" s="98"/>
      <c r="H32" s="96"/>
      <c r="I32" s="98"/>
      <c r="J32" s="99"/>
      <c r="K32" s="98"/>
      <c r="L32" s="96"/>
      <c r="M32" s="98"/>
      <c r="N32" s="98"/>
      <c r="O32" s="98"/>
      <c r="Q32" s="200"/>
      <c r="R32" s="81"/>
      <c r="S32" s="81"/>
      <c r="T32" s="81"/>
      <c r="U32" s="200"/>
      <c r="V32" s="81"/>
      <c r="W32" s="200"/>
    </row>
    <row r="33" spans="1:24">
      <c r="A33" s="58"/>
      <c r="B33" s="64"/>
      <c r="C33" s="64"/>
      <c r="D33" s="64"/>
      <c r="E33" s="65"/>
      <c r="F33" s="65"/>
      <c r="G33" s="99"/>
      <c r="H33" s="64"/>
      <c r="I33" s="99"/>
      <c r="J33" s="99"/>
      <c r="K33" s="66" t="s">
        <v>86</v>
      </c>
      <c r="L33" s="64"/>
      <c r="M33" s="66" t="s">
        <v>86</v>
      </c>
      <c r="N33" s="66" t="s">
        <v>87</v>
      </c>
      <c r="O33" s="66"/>
      <c r="Q33" s="200"/>
      <c r="R33" s="81"/>
      <c r="S33" s="81"/>
      <c r="T33" s="81"/>
      <c r="U33" s="200"/>
      <c r="V33" s="81"/>
      <c r="W33" s="200"/>
    </row>
    <row r="34" spans="1:24">
      <c r="A34" s="58"/>
      <c r="B34" s="63" t="s">
        <v>112</v>
      </c>
      <c r="C34" s="64"/>
      <c r="D34" s="64"/>
      <c r="E34" s="67"/>
      <c r="F34" s="67"/>
      <c r="G34" s="359" t="s">
        <v>434</v>
      </c>
      <c r="H34" s="359"/>
      <c r="I34" s="359"/>
      <c r="J34" s="64"/>
      <c r="K34" s="66" t="s">
        <v>89</v>
      </c>
      <c r="L34" s="67" t="s">
        <v>106</v>
      </c>
      <c r="M34" s="66" t="s">
        <v>89</v>
      </c>
      <c r="N34" s="66"/>
      <c r="O34" s="66"/>
      <c r="Q34" s="200"/>
      <c r="R34" s="81"/>
      <c r="S34" s="81"/>
      <c r="T34" s="81"/>
      <c r="U34" s="200"/>
      <c r="V34" s="81"/>
      <c r="W34" s="200"/>
    </row>
    <row r="35" spans="1:24" ht="13.5" thickBot="1">
      <c r="A35" s="58"/>
      <c r="B35" s="68" t="s">
        <v>92</v>
      </c>
      <c r="C35" s="69"/>
      <c r="D35" s="69"/>
      <c r="E35" s="70" t="s">
        <v>93</v>
      </c>
      <c r="F35" s="71"/>
      <c r="G35" s="72" t="s">
        <v>93</v>
      </c>
      <c r="H35" s="72" t="s">
        <v>435</v>
      </c>
      <c r="I35" s="73" t="s">
        <v>95</v>
      </c>
      <c r="J35" s="64"/>
      <c r="K35" s="72" t="s">
        <v>45</v>
      </c>
      <c r="L35" s="72" t="s">
        <v>96</v>
      </c>
      <c r="M35" s="72" t="s">
        <v>97</v>
      </c>
      <c r="N35" s="72"/>
      <c r="O35" s="72"/>
      <c r="Q35" s="200"/>
      <c r="R35" s="81"/>
      <c r="S35" s="81"/>
      <c r="T35" s="81"/>
      <c r="U35" s="200"/>
      <c r="V35" s="81"/>
      <c r="W35" s="200"/>
    </row>
    <row r="36" spans="1:24">
      <c r="A36" s="58">
        <f>A30+1</f>
        <v>14</v>
      </c>
      <c r="B36" s="74"/>
      <c r="C36" s="74" t="s">
        <v>99</v>
      </c>
      <c r="D36" s="74" t="s">
        <v>100</v>
      </c>
      <c r="E36" s="113">
        <v>2000</v>
      </c>
      <c r="F36" s="114"/>
      <c r="G36" s="76">
        <v>626493</v>
      </c>
      <c r="H36" s="77">
        <f>'Exhibit 1.4 Base Rates'!K74</f>
        <v>0.43527677520119029</v>
      </c>
      <c r="I36" s="76">
        <f>ROUND(G36*H36,0)</f>
        <v>272698</v>
      </c>
      <c r="J36" s="82"/>
      <c r="K36" s="76">
        <f ca="1">M36*G36</f>
        <v>14415.603929999999</v>
      </c>
      <c r="L36" s="80">
        <f ca="1">L39</f>
        <v>5.2851614527914294E-2</v>
      </c>
      <c r="M36" s="77">
        <f t="shared" ref="M36:M38" ca="1" si="6">ROUND(L36*H36,5)</f>
        <v>2.3009999999999999E-2</v>
      </c>
      <c r="N36" s="77">
        <v>8.1799999999999998E-3</v>
      </c>
      <c r="O36" s="77">
        <f ca="1">M36-N36</f>
        <v>1.4829999999999999E-2</v>
      </c>
      <c r="Q36" s="200"/>
      <c r="R36" s="204">
        <v>0.43867</v>
      </c>
      <c r="S36" s="81"/>
      <c r="T36" s="81">
        <f ca="1">R36+O36</f>
        <v>0.45350000000000001</v>
      </c>
      <c r="U36" s="200"/>
      <c r="V36" s="81">
        <v>4.8887099999999997</v>
      </c>
      <c r="W36" s="200"/>
      <c r="X36" s="195">
        <f ca="1">V36+O36</f>
        <v>4.9035399999999996</v>
      </c>
    </row>
    <row r="37" spans="1:24">
      <c r="A37" s="58">
        <f>A36+1</f>
        <v>15</v>
      </c>
      <c r="B37" s="83"/>
      <c r="C37" s="74" t="s">
        <v>101</v>
      </c>
      <c r="D37" s="74" t="s">
        <v>102</v>
      </c>
      <c r="E37" s="113">
        <v>18000</v>
      </c>
      <c r="F37" s="114"/>
      <c r="G37" s="76">
        <v>556039</v>
      </c>
      <c r="H37" s="77">
        <f>'Exhibit 1.4 Base Rates'!K75</f>
        <v>6.5726793055379734E-2</v>
      </c>
      <c r="I37" s="76">
        <f>ROUND(G37*H37,0)</f>
        <v>36547</v>
      </c>
      <c r="J37" s="82"/>
      <c r="K37" s="76">
        <f ca="1">M37*G37</f>
        <v>1929.45533</v>
      </c>
      <c r="L37" s="80">
        <f ca="1">L39</f>
        <v>5.2851614527914294E-2</v>
      </c>
      <c r="M37" s="77">
        <f t="shared" ca="1" si="6"/>
        <v>3.47E-3</v>
      </c>
      <c r="N37" s="77">
        <v>1.24E-3</v>
      </c>
      <c r="O37" s="77">
        <f ca="1">M37-N37</f>
        <v>2.2300000000000002E-3</v>
      </c>
      <c r="Q37" s="200"/>
      <c r="R37" s="204">
        <v>7.3029999999999998E-2</v>
      </c>
      <c r="S37" s="81"/>
      <c r="T37" s="81">
        <f t="shared" ref="T37:T38" ca="1" si="7">R37+O37</f>
        <v>7.5259999999999994E-2</v>
      </c>
      <c r="U37" s="200"/>
      <c r="V37" s="81">
        <v>4.5230699999999997</v>
      </c>
      <c r="W37" s="200"/>
      <c r="X37" s="195">
        <f t="shared" ref="X37:X38" ca="1" si="8">V37+O37</f>
        <v>4.5252999999999997</v>
      </c>
    </row>
    <row r="38" spans="1:24">
      <c r="A38" s="58">
        <f>A37+1</f>
        <v>16</v>
      </c>
      <c r="B38" s="83"/>
      <c r="C38" s="74" t="s">
        <v>110</v>
      </c>
      <c r="D38" s="74" t="s">
        <v>108</v>
      </c>
      <c r="E38" s="113">
        <v>20000</v>
      </c>
      <c r="F38" s="114"/>
      <c r="G38" s="76">
        <v>17403</v>
      </c>
      <c r="H38" s="77">
        <f>'Exhibit 1.4 Base Rates'!K76</f>
        <v>3.869126890677247E-2</v>
      </c>
      <c r="I38" s="76">
        <f>ROUND(G38*H38,0)</f>
        <v>673</v>
      </c>
      <c r="J38" s="82"/>
      <c r="K38" s="76">
        <f ca="1">M38*G38</f>
        <v>35.502120000000005</v>
      </c>
      <c r="L38" s="80">
        <f ca="1">L39</f>
        <v>5.2851614527914294E-2</v>
      </c>
      <c r="M38" s="77">
        <f t="shared" ca="1" si="6"/>
        <v>2.0400000000000001E-3</v>
      </c>
      <c r="N38" s="77">
        <v>7.2999999999999996E-4</v>
      </c>
      <c r="O38" s="77">
        <f ca="1">M38-N38</f>
        <v>1.3100000000000002E-3</v>
      </c>
      <c r="Q38" s="200"/>
      <c r="R38" s="204">
        <v>4.6280000000000002E-2</v>
      </c>
      <c r="S38" s="81"/>
      <c r="T38" s="81">
        <f t="shared" ca="1" si="7"/>
        <v>4.759E-2</v>
      </c>
      <c r="U38" s="200"/>
      <c r="V38" s="81">
        <v>4.4963199999999999</v>
      </c>
      <c r="W38" s="200"/>
      <c r="X38" s="195">
        <f t="shared" ca="1" si="8"/>
        <v>4.49763</v>
      </c>
    </row>
    <row r="39" spans="1:24">
      <c r="A39" s="58">
        <f>A38+1</f>
        <v>17</v>
      </c>
      <c r="B39" s="86" t="s">
        <v>104</v>
      </c>
      <c r="C39" s="59"/>
      <c r="D39" s="74"/>
      <c r="E39" s="84"/>
      <c r="F39" s="84"/>
      <c r="G39" s="109">
        <f>SUM(G36:G38)</f>
        <v>1199935</v>
      </c>
      <c r="H39" s="110"/>
      <c r="I39" s="109">
        <f>SUM(I36:I38)</f>
        <v>309918</v>
      </c>
      <c r="J39" s="82"/>
      <c r="K39" s="109">
        <f ca="1">'Exhibit 1.3 COS'!K12</f>
        <v>16379.666671262143</v>
      </c>
      <c r="L39" s="101">
        <f ca="1">K39/I39</f>
        <v>5.2851614527914294E-2</v>
      </c>
      <c r="M39" s="109"/>
      <c r="N39" s="109"/>
      <c r="O39" s="109"/>
      <c r="Q39" s="200"/>
      <c r="R39" s="81"/>
      <c r="S39" s="81"/>
      <c r="T39" s="81"/>
      <c r="U39" s="200"/>
      <c r="V39" s="81"/>
      <c r="W39" s="200"/>
    </row>
    <row r="40" spans="1:24">
      <c r="A40" s="58"/>
      <c r="B40" s="86"/>
      <c r="C40" s="59"/>
      <c r="D40" s="74"/>
      <c r="E40" s="84"/>
      <c r="F40" s="84"/>
      <c r="G40" s="111"/>
      <c r="H40" s="112"/>
      <c r="I40" s="111"/>
      <c r="J40" s="82"/>
      <c r="K40" s="111"/>
      <c r="L40" s="102"/>
      <c r="M40" s="111"/>
      <c r="N40" s="111"/>
      <c r="O40" s="111"/>
      <c r="Q40" s="200"/>
      <c r="R40" s="81"/>
      <c r="S40" s="81"/>
      <c r="T40" s="81"/>
      <c r="U40" s="200"/>
      <c r="V40" s="81"/>
      <c r="W40" s="200"/>
    </row>
    <row r="41" spans="1:24" ht="13.5" thickBot="1">
      <c r="A41" s="58"/>
      <c r="B41" s="115"/>
      <c r="C41" s="116"/>
      <c r="D41" s="116"/>
      <c r="E41" s="117"/>
      <c r="F41" s="92"/>
      <c r="G41" s="118"/>
      <c r="H41" s="119"/>
      <c r="I41" s="98"/>
      <c r="J41" s="82"/>
      <c r="K41" s="118"/>
      <c r="L41" s="119"/>
      <c r="M41" s="98"/>
      <c r="N41" s="98"/>
      <c r="O41" s="98"/>
      <c r="Q41" s="200"/>
      <c r="R41" s="81"/>
      <c r="S41" s="81"/>
      <c r="T41" s="81"/>
      <c r="U41" s="200"/>
      <c r="V41" s="81"/>
      <c r="W41" s="200"/>
    </row>
    <row r="42" spans="1:24">
      <c r="A42" s="58"/>
      <c r="B42" s="120"/>
      <c r="C42" s="91"/>
      <c r="D42" s="91"/>
      <c r="E42" s="92"/>
      <c r="F42" s="92"/>
      <c r="G42" s="121"/>
      <c r="H42" s="122"/>
      <c r="I42" s="99"/>
      <c r="J42" s="82"/>
      <c r="K42" s="66" t="s">
        <v>86</v>
      </c>
      <c r="L42" s="122"/>
      <c r="M42" s="66" t="s">
        <v>86</v>
      </c>
      <c r="N42" s="66" t="s">
        <v>87</v>
      </c>
      <c r="O42" s="66"/>
      <c r="Q42" s="200"/>
      <c r="R42" s="81"/>
      <c r="S42" s="81"/>
      <c r="T42" s="81"/>
      <c r="U42" s="200"/>
      <c r="V42" s="81"/>
      <c r="W42" s="200"/>
    </row>
    <row r="43" spans="1:24">
      <c r="A43" s="58"/>
      <c r="B43" s="63" t="s">
        <v>113</v>
      </c>
      <c r="C43" s="64"/>
      <c r="D43" s="64"/>
      <c r="E43" s="67"/>
      <c r="F43" s="67"/>
      <c r="G43" s="359" t="s">
        <v>434</v>
      </c>
      <c r="H43" s="359"/>
      <c r="I43" s="359"/>
      <c r="J43" s="64"/>
      <c r="K43" s="66" t="s">
        <v>89</v>
      </c>
      <c r="L43" s="67" t="s">
        <v>90</v>
      </c>
      <c r="M43" s="66" t="s">
        <v>89</v>
      </c>
      <c r="N43" s="66"/>
      <c r="O43" s="66"/>
      <c r="Q43" s="200"/>
      <c r="R43" s="81"/>
      <c r="S43" s="81"/>
      <c r="T43" s="81"/>
      <c r="U43" s="200"/>
      <c r="V43" s="81"/>
      <c r="W43" s="200"/>
    </row>
    <row r="44" spans="1:24" ht="13.5" thickBot="1">
      <c r="A44" s="58"/>
      <c r="B44" s="68" t="s">
        <v>92</v>
      </c>
      <c r="C44" s="69"/>
      <c r="D44" s="69"/>
      <c r="E44" s="70" t="s">
        <v>93</v>
      </c>
      <c r="F44" s="71"/>
      <c r="G44" s="72" t="s">
        <v>93</v>
      </c>
      <c r="H44" s="72" t="s">
        <v>435</v>
      </c>
      <c r="I44" s="73" t="s">
        <v>95</v>
      </c>
      <c r="J44" s="64"/>
      <c r="K44" s="72" t="s">
        <v>45</v>
      </c>
      <c r="L44" s="72" t="s">
        <v>96</v>
      </c>
      <c r="M44" s="72" t="s">
        <v>97</v>
      </c>
      <c r="N44" s="72"/>
      <c r="O44" s="72"/>
      <c r="Q44" s="200"/>
      <c r="R44" s="81"/>
      <c r="S44" s="81"/>
      <c r="T44" s="81"/>
      <c r="U44" s="200"/>
      <c r="V44" s="81"/>
      <c r="W44" s="200"/>
    </row>
    <row r="45" spans="1:24">
      <c r="A45" s="58">
        <f>A39+1</f>
        <v>18</v>
      </c>
      <c r="B45" s="74"/>
      <c r="C45" s="74" t="s">
        <v>99</v>
      </c>
      <c r="D45" s="74" t="s">
        <v>100</v>
      </c>
      <c r="E45" s="84">
        <v>10000</v>
      </c>
      <c r="F45" s="84"/>
      <c r="G45" s="76">
        <v>840000</v>
      </c>
      <c r="H45" s="77">
        <f>'Exhibit 1.4 Base Rates'!K95</f>
        <v>0.23672793618067264</v>
      </c>
      <c r="I45" s="76">
        <f>ROUND(G45*H45,0)</f>
        <v>198851</v>
      </c>
      <c r="J45" s="82"/>
      <c r="K45" s="76">
        <f ca="1">M45*G45</f>
        <v>6871.2</v>
      </c>
      <c r="L45" s="80">
        <f ca="1">L50</f>
        <v>3.4557003691901615E-2</v>
      </c>
      <c r="M45" s="77">
        <f t="shared" ref="M45:M48" ca="1" si="9">ROUND(L45*H45,5)</f>
        <v>8.1799999999999998E-3</v>
      </c>
      <c r="N45" s="77">
        <v>6.1399999999999996E-3</v>
      </c>
      <c r="O45" s="77">
        <f ca="1">M45-N45</f>
        <v>2.0400000000000001E-3</v>
      </c>
      <c r="Q45" s="200"/>
      <c r="R45" s="204">
        <v>0.23616000000000001</v>
      </c>
      <c r="S45" s="81"/>
      <c r="T45" s="81">
        <f ca="1">R45+O45</f>
        <v>0.23820000000000002</v>
      </c>
      <c r="U45" s="200"/>
      <c r="V45" s="81"/>
      <c r="W45" s="200"/>
      <c r="X45" s="195"/>
    </row>
    <row r="46" spans="1:24">
      <c r="A46" s="58">
        <f>A45+1</f>
        <v>19</v>
      </c>
      <c r="B46" s="83"/>
      <c r="C46" s="74" t="s">
        <v>101</v>
      </c>
      <c r="D46" s="74" t="s">
        <v>102</v>
      </c>
      <c r="E46" s="84">
        <v>112500</v>
      </c>
      <c r="F46" s="84"/>
      <c r="G46" s="76">
        <v>4382293</v>
      </c>
      <c r="H46" s="77">
        <f>'Exhibit 1.4 Base Rates'!K96</f>
        <v>0.22185238075650751</v>
      </c>
      <c r="I46" s="76">
        <f>ROUND(G46*H46,0)</f>
        <v>972222</v>
      </c>
      <c r="J46" s="82"/>
      <c r="K46" s="76">
        <f ca="1">M46*G46</f>
        <v>33612.187310000001</v>
      </c>
      <c r="L46" s="80">
        <f ca="1">L50</f>
        <v>3.4557003691901615E-2</v>
      </c>
      <c r="M46" s="77">
        <f t="shared" ca="1" si="9"/>
        <v>7.6699999999999997E-3</v>
      </c>
      <c r="N46" s="77">
        <v>5.7499999999999999E-3</v>
      </c>
      <c r="O46" s="77">
        <f ca="1">M46-N46</f>
        <v>1.9199999999999998E-3</v>
      </c>
      <c r="Q46" s="200"/>
      <c r="R46" s="204">
        <v>0.22133</v>
      </c>
      <c r="S46" s="81"/>
      <c r="T46" s="81">
        <f t="shared" ref="T46:T48" ca="1" si="10">R46+O46</f>
        <v>0.22325</v>
      </c>
      <c r="U46" s="200"/>
      <c r="V46" s="81"/>
      <c r="W46" s="200"/>
      <c r="X46" s="195"/>
    </row>
    <row r="47" spans="1:24">
      <c r="A47" s="58">
        <f>A46+1</f>
        <v>20</v>
      </c>
      <c r="B47" s="83"/>
      <c r="C47" s="74" t="s">
        <v>110</v>
      </c>
      <c r="D47" s="74" t="s">
        <v>102</v>
      </c>
      <c r="E47" s="84">
        <v>477500</v>
      </c>
      <c r="F47" s="84"/>
      <c r="G47" s="76">
        <v>3768417</v>
      </c>
      <c r="H47" s="77">
        <f>'Exhibit 1.4 Base Rates'!K97</f>
        <v>0.15573880109355129</v>
      </c>
      <c r="I47" s="76">
        <f>ROUND(G47*H47,0)</f>
        <v>586889</v>
      </c>
      <c r="J47" s="82"/>
      <c r="K47" s="76">
        <f ca="1">M47*G47</f>
        <v>20274.083460000002</v>
      </c>
      <c r="L47" s="80">
        <f ca="1">L50</f>
        <v>3.4557003691901615E-2</v>
      </c>
      <c r="M47" s="77">
        <f t="shared" ca="1" si="9"/>
        <v>5.3800000000000002E-3</v>
      </c>
      <c r="N47" s="77">
        <v>4.0400000000000002E-3</v>
      </c>
      <c r="O47" s="77">
        <f ca="1">M47-N47</f>
        <v>1.34E-3</v>
      </c>
      <c r="Q47" s="200"/>
      <c r="R47" s="204">
        <v>0.15543000000000001</v>
      </c>
      <c r="S47" s="81"/>
      <c r="T47" s="81">
        <f t="shared" ca="1" si="10"/>
        <v>0.15677000000000002</v>
      </c>
      <c r="U47" s="200"/>
      <c r="V47" s="81"/>
      <c r="W47" s="200"/>
      <c r="X47" s="195"/>
    </row>
    <row r="48" spans="1:24">
      <c r="A48" s="58">
        <f>A47+1</f>
        <v>21</v>
      </c>
      <c r="B48" s="83"/>
      <c r="C48" s="74" t="s">
        <v>114</v>
      </c>
      <c r="D48" s="74" t="s">
        <v>108</v>
      </c>
      <c r="E48" s="84">
        <v>600000</v>
      </c>
      <c r="F48" s="84"/>
      <c r="G48" s="76">
        <v>0</v>
      </c>
      <c r="H48" s="77">
        <f>'Exhibit 1.4 Base Rates'!K98</f>
        <v>3.1775839225508334E-2</v>
      </c>
      <c r="I48" s="76">
        <f>ROUND(G48*H48,0)</f>
        <v>0</v>
      </c>
      <c r="J48" s="82"/>
      <c r="K48" s="76">
        <f ca="1">M48*G48</f>
        <v>0</v>
      </c>
      <c r="L48" s="80">
        <f ca="1">L50</f>
        <v>3.4557003691901615E-2</v>
      </c>
      <c r="M48" s="77">
        <f t="shared" ca="1" si="9"/>
        <v>1.1000000000000001E-3</v>
      </c>
      <c r="N48" s="77">
        <v>8.1999999999999998E-4</v>
      </c>
      <c r="O48" s="77">
        <f ca="1">M48-N48</f>
        <v>2.8000000000000008E-4</v>
      </c>
      <c r="Q48" s="200"/>
      <c r="R48" s="81">
        <v>3.1850000000000003E-2</v>
      </c>
      <c r="S48" s="81"/>
      <c r="T48" s="81">
        <f t="shared" ca="1" si="10"/>
        <v>3.2130000000000006E-2</v>
      </c>
      <c r="U48" s="200"/>
      <c r="V48" s="81"/>
      <c r="W48" s="200"/>
    </row>
    <row r="49" spans="1:24">
      <c r="A49" s="58">
        <f>A48+1</f>
        <v>22</v>
      </c>
      <c r="B49" s="126" t="s">
        <v>116</v>
      </c>
      <c r="C49" s="74"/>
      <c r="D49" s="74"/>
      <c r="E49" s="84"/>
      <c r="F49" s="84"/>
      <c r="G49" s="76">
        <v>58000</v>
      </c>
      <c r="H49" s="216">
        <f>'Exhibit 1.4 Base Rates'!K115</f>
        <v>12.903883962806368</v>
      </c>
      <c r="I49" s="127">
        <f>G49*H49</f>
        <v>748425.26984276937</v>
      </c>
      <c r="J49" s="82"/>
      <c r="K49" s="76">
        <f ca="1">M49*G49</f>
        <v>25863.360000000001</v>
      </c>
      <c r="L49" s="80">
        <f ca="1">L50</f>
        <v>3.4557003691901615E-2</v>
      </c>
      <c r="M49" s="77">
        <f ca="1">ROUND(L49*H49,5)</f>
        <v>0.44591999999999998</v>
      </c>
      <c r="N49" s="77">
        <v>0.33091999999999999</v>
      </c>
      <c r="O49" s="77">
        <f ca="1">M49-N49</f>
        <v>0.11499999999999999</v>
      </c>
      <c r="Q49" s="200"/>
      <c r="R49" s="217">
        <v>12.72</v>
      </c>
      <c r="S49" s="81"/>
      <c r="T49" s="81">
        <f ca="1">R49+O49</f>
        <v>12.835000000000001</v>
      </c>
      <c r="U49" s="200"/>
      <c r="V49" s="81"/>
      <c r="W49" s="200"/>
    </row>
    <row r="50" spans="1:24">
      <c r="A50" s="58">
        <f>A49+1</f>
        <v>23</v>
      </c>
      <c r="B50" s="126" t="s">
        <v>117</v>
      </c>
      <c r="C50" s="59"/>
      <c r="D50" s="74"/>
      <c r="E50" s="84"/>
      <c r="F50" s="84"/>
      <c r="G50" s="109">
        <f>SUM(G45:G49)</f>
        <v>9048710</v>
      </c>
      <c r="H50" s="110"/>
      <c r="I50" s="109">
        <f>SUM(I45:I49)</f>
        <v>2506387.2698427695</v>
      </c>
      <c r="J50" s="82"/>
      <c r="K50" s="109">
        <f ca="1">'Exhibit 1.3 COS'!K15</f>
        <v>86613.234137291787</v>
      </c>
      <c r="L50" s="101">
        <f ca="1">K50/I50</f>
        <v>3.4557003691901615E-2</v>
      </c>
      <c r="M50" s="109"/>
      <c r="N50" s="109"/>
      <c r="O50" s="109"/>
      <c r="Q50" s="200"/>
      <c r="R50" s="81">
        <f>R49/12</f>
        <v>1.06</v>
      </c>
      <c r="S50" s="81"/>
      <c r="T50" s="81">
        <f ca="1">T49/12</f>
        <v>1.0695833333333333</v>
      </c>
      <c r="U50" s="200"/>
      <c r="V50" s="81"/>
      <c r="W50" s="200"/>
    </row>
    <row r="51" spans="1:24">
      <c r="A51" s="58"/>
      <c r="B51" s="86"/>
      <c r="C51" s="59"/>
      <c r="D51" s="74"/>
      <c r="E51" s="84"/>
      <c r="F51" s="84"/>
      <c r="G51" s="111"/>
      <c r="H51" s="112"/>
      <c r="I51" s="111"/>
      <c r="J51" s="82"/>
      <c r="K51" s="111"/>
      <c r="L51" s="102"/>
      <c r="M51" s="111"/>
      <c r="N51" s="111"/>
      <c r="O51" s="111"/>
      <c r="Q51" s="200"/>
      <c r="R51" s="81"/>
      <c r="S51" s="81"/>
      <c r="T51" s="81"/>
      <c r="U51" s="200"/>
      <c r="V51" s="81"/>
      <c r="W51" s="200"/>
    </row>
    <row r="52" spans="1:24" ht="13.5" thickBot="1">
      <c r="A52" s="58"/>
      <c r="B52" s="115"/>
      <c r="C52" s="116"/>
      <c r="D52" s="116"/>
      <c r="E52" s="117"/>
      <c r="F52" s="123"/>
      <c r="G52" s="118"/>
      <c r="H52" s="119"/>
      <c r="I52" s="98"/>
      <c r="J52" s="82"/>
      <c r="K52" s="118"/>
      <c r="L52" s="119"/>
      <c r="M52" s="98"/>
      <c r="N52" s="98"/>
      <c r="O52" s="98"/>
      <c r="Q52" s="200"/>
      <c r="R52" s="81"/>
      <c r="S52" s="81"/>
      <c r="T52" s="81"/>
      <c r="U52" s="200"/>
      <c r="V52" s="81"/>
      <c r="W52" s="200"/>
    </row>
    <row r="53" spans="1:24">
      <c r="A53" s="58"/>
      <c r="B53" s="120"/>
      <c r="C53" s="91"/>
      <c r="D53" s="91"/>
      <c r="E53" s="92"/>
      <c r="F53" s="123"/>
      <c r="G53" s="121"/>
      <c r="H53" s="122"/>
      <c r="I53" s="99"/>
      <c r="J53" s="82"/>
      <c r="K53" s="66" t="s">
        <v>86</v>
      </c>
      <c r="L53" s="122"/>
      <c r="M53" s="66" t="s">
        <v>86</v>
      </c>
      <c r="N53" s="66" t="s">
        <v>87</v>
      </c>
      <c r="O53" s="66"/>
      <c r="Q53" s="200"/>
      <c r="R53" s="81"/>
      <c r="S53" s="81"/>
      <c r="T53" s="81"/>
      <c r="U53" s="200"/>
      <c r="V53" s="81"/>
      <c r="W53" s="200"/>
    </row>
    <row r="54" spans="1:24">
      <c r="A54" s="58"/>
      <c r="B54" s="63" t="s">
        <v>115</v>
      </c>
      <c r="C54" s="64"/>
      <c r="D54" s="64"/>
      <c r="E54" s="67"/>
      <c r="F54" s="123"/>
      <c r="G54" s="359" t="s">
        <v>434</v>
      </c>
      <c r="H54" s="359"/>
      <c r="I54" s="359"/>
      <c r="J54" s="82"/>
      <c r="K54" s="66" t="s">
        <v>89</v>
      </c>
      <c r="L54" s="67" t="s">
        <v>90</v>
      </c>
      <c r="M54" s="66" t="s">
        <v>89</v>
      </c>
      <c r="N54" s="66"/>
      <c r="O54" s="66"/>
      <c r="Q54" s="200"/>
      <c r="R54" s="81"/>
      <c r="S54" s="81"/>
      <c r="T54" s="81"/>
      <c r="U54" s="200"/>
      <c r="V54" s="81"/>
      <c r="W54" s="200"/>
    </row>
    <row r="55" spans="1:24" ht="13.5" thickBot="1">
      <c r="A55" s="58"/>
      <c r="B55" s="68" t="s">
        <v>92</v>
      </c>
      <c r="C55" s="69"/>
      <c r="D55" s="69"/>
      <c r="E55" s="70" t="s">
        <v>93</v>
      </c>
      <c r="F55" s="123"/>
      <c r="G55" s="72" t="s">
        <v>93</v>
      </c>
      <c r="H55" s="72" t="s">
        <v>435</v>
      </c>
      <c r="I55" s="73" t="s">
        <v>95</v>
      </c>
      <c r="J55" s="82"/>
      <c r="K55" s="72" t="s">
        <v>45</v>
      </c>
      <c r="L55" s="72" t="s">
        <v>96</v>
      </c>
      <c r="M55" s="72" t="s">
        <v>97</v>
      </c>
      <c r="N55" s="72"/>
      <c r="O55" s="72"/>
      <c r="Q55" s="200"/>
      <c r="R55" s="81"/>
      <c r="S55" s="81"/>
      <c r="T55" s="81"/>
      <c r="U55" s="200"/>
      <c r="V55" s="81"/>
      <c r="W55" s="200"/>
    </row>
    <row r="56" spans="1:24">
      <c r="A56" s="58">
        <f>A50+1</f>
        <v>24</v>
      </c>
      <c r="B56" s="74"/>
      <c r="C56" s="74" t="s">
        <v>99</v>
      </c>
      <c r="D56" s="74" t="s">
        <v>100</v>
      </c>
      <c r="E56" s="84">
        <v>200</v>
      </c>
      <c r="F56" s="123"/>
      <c r="G56" s="76">
        <v>1014552</v>
      </c>
      <c r="H56" s="77">
        <f>'Exhibit 1.4 Base Rates'!K132</f>
        <v>0.7330144302610706</v>
      </c>
      <c r="I56" s="76">
        <f>ROUND(G56*H56,0)</f>
        <v>743681</v>
      </c>
      <c r="J56" s="82"/>
      <c r="K56" s="76">
        <f ca="1">M56*G56</f>
        <v>14376.20184</v>
      </c>
      <c r="L56" s="124">
        <f ca="1">L61</f>
        <v>1.933325094244907E-2</v>
      </c>
      <c r="M56" s="77">
        <f t="shared" ref="M56:M60" ca="1" si="11">ROUND(L56*H56,5)</f>
        <v>1.417E-2</v>
      </c>
      <c r="N56" s="77">
        <v>1.1780000000000001E-2</v>
      </c>
      <c r="O56" s="77">
        <f ca="1">M56-N56</f>
        <v>2.3899999999999998E-3</v>
      </c>
      <c r="P56" s="195"/>
      <c r="Q56" s="200"/>
      <c r="R56" s="204">
        <v>0.71631</v>
      </c>
      <c r="S56" s="81"/>
      <c r="T56" s="81">
        <f ca="1">R56+O56</f>
        <v>0.71870000000000001</v>
      </c>
      <c r="U56" s="200"/>
      <c r="V56" s="81"/>
      <c r="W56" s="200"/>
      <c r="X56" s="195"/>
    </row>
    <row r="57" spans="1:24">
      <c r="A57" s="58">
        <f>A56+1</f>
        <v>25</v>
      </c>
      <c r="B57" s="83"/>
      <c r="C57" s="74" t="s">
        <v>101</v>
      </c>
      <c r="D57" s="74" t="s">
        <v>102</v>
      </c>
      <c r="E57" s="84">
        <v>1800</v>
      </c>
      <c r="F57" s="123"/>
      <c r="G57" s="76">
        <v>5713522</v>
      </c>
      <c r="H57" s="77">
        <f>'Exhibit 1.4 Base Rates'!K133</f>
        <v>0.47917471463785827</v>
      </c>
      <c r="I57" s="76">
        <f>ROUND(G57*H57,0)</f>
        <v>2737775</v>
      </c>
      <c r="J57" s="82"/>
      <c r="K57" s="76">
        <f t="shared" ref="K57:K59" ca="1" si="12">M57*G57</f>
        <v>52907.213719999992</v>
      </c>
      <c r="L57" s="124">
        <f ca="1">L61</f>
        <v>1.933325094244907E-2</v>
      </c>
      <c r="M57" s="77">
        <f t="shared" ca="1" si="11"/>
        <v>9.2599999999999991E-3</v>
      </c>
      <c r="N57" s="77">
        <v>7.7000000000000002E-3</v>
      </c>
      <c r="O57" s="77">
        <f ca="1">M57-N57</f>
        <v>1.5599999999999989E-3</v>
      </c>
      <c r="P57" s="195"/>
      <c r="Q57" s="200"/>
      <c r="R57" s="204">
        <v>0.46843000000000001</v>
      </c>
      <c r="S57" s="81"/>
      <c r="T57" s="81">
        <f t="shared" ref="T57:T58" ca="1" si="13">R57+O57</f>
        <v>0.46999000000000002</v>
      </c>
      <c r="U57" s="200"/>
      <c r="V57" s="81"/>
      <c r="W57" s="200"/>
      <c r="X57" s="195"/>
    </row>
    <row r="58" spans="1:24">
      <c r="A58" s="58">
        <f>A57+1</f>
        <v>26</v>
      </c>
      <c r="B58" s="83"/>
      <c r="C58" s="74" t="s">
        <v>110</v>
      </c>
      <c r="D58" s="74" t="s">
        <v>102</v>
      </c>
      <c r="E58" s="84">
        <v>98000</v>
      </c>
      <c r="F58" s="123"/>
      <c r="G58" s="76">
        <v>26221628</v>
      </c>
      <c r="H58" s="77">
        <f>'Exhibit 1.4 Base Rates'!K134</f>
        <v>0.1959625775933945</v>
      </c>
      <c r="I58" s="76">
        <f>ROUND(G58*H58,0)</f>
        <v>5138458</v>
      </c>
      <c r="J58" s="82"/>
      <c r="K58" s="76">
        <f t="shared" ca="1" si="12"/>
        <v>99379.970119999998</v>
      </c>
      <c r="L58" s="124">
        <f ca="1">L61</f>
        <v>1.933325094244907E-2</v>
      </c>
      <c r="M58" s="77">
        <f t="shared" ca="1" si="11"/>
        <v>3.79E-3</v>
      </c>
      <c r="N58" s="77">
        <v>3.15E-3</v>
      </c>
      <c r="O58" s="77">
        <f ca="1">M58-N58</f>
        <v>6.3999999999999994E-4</v>
      </c>
      <c r="P58" s="195"/>
      <c r="Q58" s="200"/>
      <c r="R58" s="204">
        <v>0.19188</v>
      </c>
      <c r="S58" s="81"/>
      <c r="T58" s="81">
        <f t="shared" ca="1" si="13"/>
        <v>0.19252</v>
      </c>
      <c r="U58" s="200"/>
      <c r="V58" s="81"/>
      <c r="W58" s="200"/>
      <c r="X58" s="195"/>
    </row>
    <row r="59" spans="1:24">
      <c r="A59" s="58">
        <f>A58+1</f>
        <v>27</v>
      </c>
      <c r="B59" s="83"/>
      <c r="C59" s="74" t="s">
        <v>114</v>
      </c>
      <c r="D59" s="74" t="s">
        <v>108</v>
      </c>
      <c r="E59" s="84">
        <v>100000</v>
      </c>
      <c r="F59" s="123"/>
      <c r="G59" s="76">
        <v>5858118</v>
      </c>
      <c r="H59" s="77">
        <f>'Exhibit 1.4 Base Rates'!K135</f>
        <v>7.2525633035203527E-2</v>
      </c>
      <c r="I59" s="111">
        <f>ROUND(G59*H59,0)</f>
        <v>424864</v>
      </c>
      <c r="J59" s="82"/>
      <c r="K59" s="111">
        <f t="shared" ca="1" si="12"/>
        <v>8201.3652000000002</v>
      </c>
      <c r="L59" s="124">
        <f ca="1">L61</f>
        <v>1.933325094244907E-2</v>
      </c>
      <c r="M59" s="125">
        <f t="shared" ca="1" si="11"/>
        <v>1.4E-3</v>
      </c>
      <c r="N59" s="125">
        <v>1.17E-3</v>
      </c>
      <c r="O59" s="125">
        <f ca="1">M59-N59</f>
        <v>2.2999999999999995E-4</v>
      </c>
      <c r="P59" s="195"/>
      <c r="Q59" s="200"/>
      <c r="R59" s="204">
        <v>7.1349999999999997E-2</v>
      </c>
      <c r="S59" s="81"/>
      <c r="T59" s="81">
        <f ca="1">R59+O59</f>
        <v>7.1579999999999991E-2</v>
      </c>
      <c r="U59" s="200"/>
      <c r="V59" s="81"/>
      <c r="W59" s="200"/>
      <c r="X59" s="195"/>
    </row>
    <row r="60" spans="1:24">
      <c r="A60" s="58">
        <f>A59+1</f>
        <v>28</v>
      </c>
      <c r="B60" s="126" t="s">
        <v>116</v>
      </c>
      <c r="C60" s="85"/>
      <c r="D60" s="120"/>
      <c r="E60" s="123"/>
      <c r="F60" s="123"/>
      <c r="G60" s="127">
        <v>111174</v>
      </c>
      <c r="H60" s="191">
        <f>'Exhibit 1.4 Base Rates'!K152</f>
        <v>25.807767925612737</v>
      </c>
      <c r="I60" s="127">
        <f>G60*H60</f>
        <v>2869152.7913620705</v>
      </c>
      <c r="J60" s="82"/>
      <c r="K60" s="127">
        <f ca="1">M60*G60</f>
        <v>55470.2673</v>
      </c>
      <c r="L60" s="128">
        <f ca="1">L61</f>
        <v>1.933325094244907E-2</v>
      </c>
      <c r="M60" s="129">
        <f t="shared" ca="1" si="11"/>
        <v>0.49895</v>
      </c>
      <c r="N60" s="129">
        <v>0.41471999999999998</v>
      </c>
      <c r="O60" s="129">
        <f ca="1">M60-N60</f>
        <v>8.4230000000000027E-2</v>
      </c>
      <c r="Q60" s="200"/>
      <c r="R60" s="204">
        <v>25.21</v>
      </c>
      <c r="S60" s="81"/>
      <c r="T60" s="217">
        <f t="shared" ref="T60" ca="1" si="14">R60+O60</f>
        <v>25.294230000000002</v>
      </c>
      <c r="U60" s="200"/>
      <c r="V60" s="81"/>
      <c r="W60" s="200"/>
      <c r="X60" s="195"/>
    </row>
    <row r="61" spans="1:24">
      <c r="A61" s="58">
        <f>A60+1</f>
        <v>29</v>
      </c>
      <c r="B61" s="126" t="s">
        <v>117</v>
      </c>
      <c r="C61" s="85"/>
      <c r="D61" s="120"/>
      <c r="E61" s="123"/>
      <c r="F61" s="123"/>
      <c r="G61" s="111">
        <f>SUM(G56:G60)</f>
        <v>38918994</v>
      </c>
      <c r="H61" s="125"/>
      <c r="I61" s="111">
        <f>SUM(I56:I60)</f>
        <v>11913930.79136207</v>
      </c>
      <c r="J61" s="82"/>
      <c r="K61" s="111">
        <f ca="1">'Exhibit 1.3 COS'!K13</f>
        <v>230335.01370037373</v>
      </c>
      <c r="L61" s="102">
        <f ca="1">K61/I61</f>
        <v>1.933325094244907E-2</v>
      </c>
      <c r="M61" s="130"/>
      <c r="N61" s="130"/>
      <c r="O61" s="130"/>
      <c r="Q61" s="200"/>
      <c r="R61" s="81">
        <f>R60/12</f>
        <v>2.1008333333333336</v>
      </c>
      <c r="S61" s="81"/>
      <c r="T61" s="81">
        <f ca="1">T60/12</f>
        <v>2.1078525000000004</v>
      </c>
      <c r="U61" s="200"/>
      <c r="V61" s="81"/>
      <c r="W61" s="200"/>
    </row>
    <row r="62" spans="1:24">
      <c r="A62" s="58"/>
      <c r="B62" s="126"/>
      <c r="C62" s="85"/>
      <c r="D62" s="120"/>
      <c r="E62" s="123"/>
      <c r="F62" s="123"/>
      <c r="G62" s="111"/>
      <c r="H62" s="125"/>
      <c r="I62" s="111"/>
      <c r="J62" s="82"/>
      <c r="K62" s="111"/>
      <c r="L62" s="102"/>
      <c r="M62" s="130"/>
      <c r="N62" s="130"/>
      <c r="O62" s="130"/>
      <c r="Q62" s="200"/>
      <c r="R62" s="81"/>
      <c r="S62" s="81"/>
      <c r="T62" s="81"/>
      <c r="U62" s="200"/>
      <c r="V62" s="81"/>
      <c r="W62" s="200"/>
    </row>
    <row r="63" spans="1:24" ht="13.5" thickBot="1">
      <c r="A63" s="58"/>
      <c r="B63" s="115"/>
      <c r="C63" s="131"/>
      <c r="D63" s="115"/>
      <c r="E63" s="132"/>
      <c r="F63" s="123"/>
      <c r="G63" s="133"/>
      <c r="H63" s="134"/>
      <c r="I63" s="98"/>
      <c r="J63" s="64"/>
      <c r="K63" s="98"/>
      <c r="L63" s="134"/>
      <c r="M63" s="98"/>
      <c r="N63" s="98"/>
      <c r="O63" s="98"/>
      <c r="Q63" s="200"/>
      <c r="R63" s="81"/>
      <c r="S63" s="81"/>
      <c r="T63" s="81"/>
      <c r="U63" s="200"/>
      <c r="V63" s="81"/>
      <c r="W63" s="200"/>
    </row>
    <row r="64" spans="1:24">
      <c r="A64" s="58"/>
      <c r="B64" s="120"/>
      <c r="C64" s="85"/>
      <c r="D64" s="120"/>
      <c r="E64" s="123"/>
      <c r="F64" s="123"/>
      <c r="G64" s="111"/>
      <c r="H64" s="130"/>
      <c r="I64" s="99"/>
      <c r="J64" s="64"/>
      <c r="K64" s="66" t="s">
        <v>86</v>
      </c>
      <c r="L64" s="130"/>
      <c r="M64" s="66" t="s">
        <v>86</v>
      </c>
      <c r="N64" s="66" t="s">
        <v>87</v>
      </c>
      <c r="O64" s="66"/>
      <c r="Q64" s="200"/>
      <c r="R64" s="81"/>
      <c r="S64" s="81"/>
      <c r="T64" s="81"/>
      <c r="U64" s="200"/>
      <c r="V64" s="81"/>
      <c r="W64" s="200"/>
    </row>
    <row r="65" spans="1:24">
      <c r="A65" s="58"/>
      <c r="B65" s="63" t="s">
        <v>118</v>
      </c>
      <c r="C65" s="64"/>
      <c r="D65" s="64"/>
      <c r="E65" s="67"/>
      <c r="F65" s="67"/>
      <c r="G65" s="359" t="s">
        <v>434</v>
      </c>
      <c r="H65" s="359"/>
      <c r="I65" s="359"/>
      <c r="J65" s="64"/>
      <c r="K65" s="66" t="s">
        <v>89</v>
      </c>
      <c r="L65" s="67" t="s">
        <v>106</v>
      </c>
      <c r="M65" s="66" t="s">
        <v>89</v>
      </c>
      <c r="N65" s="66"/>
      <c r="O65" s="66"/>
      <c r="Q65" s="200"/>
      <c r="R65" s="81"/>
      <c r="S65" s="81"/>
      <c r="T65" s="81"/>
      <c r="U65" s="200"/>
      <c r="V65" s="81"/>
      <c r="W65" s="200"/>
    </row>
    <row r="66" spans="1:24" ht="13.5" thickBot="1">
      <c r="A66" s="58"/>
      <c r="B66" s="68" t="s">
        <v>92</v>
      </c>
      <c r="C66" s="69"/>
      <c r="D66" s="69"/>
      <c r="E66" s="70" t="s">
        <v>93</v>
      </c>
      <c r="F66" s="71"/>
      <c r="G66" s="72" t="s">
        <v>93</v>
      </c>
      <c r="H66" s="72" t="s">
        <v>435</v>
      </c>
      <c r="I66" s="73" t="s">
        <v>95</v>
      </c>
      <c r="J66" s="64"/>
      <c r="K66" s="72" t="s">
        <v>45</v>
      </c>
      <c r="L66" s="72" t="s">
        <v>96</v>
      </c>
      <c r="M66" s="72" t="s">
        <v>97</v>
      </c>
      <c r="N66" s="72"/>
      <c r="O66" s="72"/>
      <c r="Q66" s="200"/>
      <c r="R66" s="81"/>
      <c r="S66" s="81"/>
      <c r="T66" s="81"/>
      <c r="U66" s="200"/>
      <c r="V66" s="81"/>
      <c r="W66" s="200"/>
    </row>
    <row r="67" spans="1:24">
      <c r="A67" s="58">
        <f>A61+1</f>
        <v>30</v>
      </c>
      <c r="B67" s="100" t="s">
        <v>107</v>
      </c>
      <c r="C67" s="74"/>
      <c r="D67" s="74" t="s">
        <v>108</v>
      </c>
      <c r="E67" s="84">
        <v>0</v>
      </c>
      <c r="F67" s="84"/>
      <c r="G67" s="76">
        <v>33806</v>
      </c>
      <c r="H67" s="192">
        <f>'Exhibit 1.4 Base Rates'!K168</f>
        <v>0.65141000000000004</v>
      </c>
      <c r="I67" s="232">
        <f>G67*H67</f>
        <v>22021.566460000002</v>
      </c>
      <c r="J67" s="82"/>
      <c r="K67" s="76">
        <f ca="1">'Exhibit 1.3 COS'!K14</f>
        <v>542.2660164338123</v>
      </c>
      <c r="L67" s="80">
        <f ca="1">K67/I67</f>
        <v>2.462431623194403E-2</v>
      </c>
      <c r="M67" s="77">
        <f t="shared" ref="M67" ca="1" si="15">ROUND(L67*H67,5)</f>
        <v>1.6039999999999999E-2</v>
      </c>
      <c r="N67" s="77">
        <v>8.5199999999999998E-3</v>
      </c>
      <c r="O67" s="77">
        <f ca="1">M67-N67</f>
        <v>7.5199999999999989E-3</v>
      </c>
      <c r="Q67" s="200"/>
      <c r="R67" s="204">
        <v>0.67574000000000001</v>
      </c>
      <c r="S67" s="81"/>
      <c r="T67" s="81">
        <f t="shared" ref="T67" ca="1" si="16">R67+O67</f>
        <v>0.68325999999999998</v>
      </c>
      <c r="U67" s="200"/>
      <c r="V67" s="81"/>
      <c r="W67" s="200"/>
      <c r="X67" s="195">
        <f t="shared" ref="X67" ca="1" si="17">V67+O67</f>
        <v>7.5199999999999989E-3</v>
      </c>
    </row>
    <row r="68" spans="1:24">
      <c r="A68" s="58">
        <f>A67+1</f>
        <v>31</v>
      </c>
      <c r="B68" s="86" t="s">
        <v>104</v>
      </c>
      <c r="C68" s="59"/>
      <c r="D68" s="74"/>
      <c r="E68" s="84"/>
      <c r="F68" s="84"/>
      <c r="G68" s="231">
        <f>SUM(G67)</f>
        <v>33806</v>
      </c>
      <c r="H68" s="135"/>
      <c r="I68" s="230">
        <f>SUM(I67)</f>
        <v>22021.566460000002</v>
      </c>
      <c r="J68" s="82"/>
      <c r="K68" s="111"/>
      <c r="L68" s="112"/>
      <c r="M68" s="111"/>
      <c r="N68" s="111"/>
      <c r="O68" s="111"/>
    </row>
    <row r="69" spans="1:24">
      <c r="A69" s="58"/>
      <c r="B69" s="120"/>
      <c r="C69" s="91"/>
      <c r="D69" s="91"/>
      <c r="E69" s="92"/>
      <c r="F69" s="92"/>
      <c r="G69" s="93"/>
      <c r="H69" s="94"/>
      <c r="I69" s="95"/>
      <c r="J69" s="82"/>
      <c r="K69" s="93"/>
      <c r="L69" s="94"/>
      <c r="M69" s="95"/>
      <c r="N69" s="95"/>
      <c r="O69" s="95"/>
    </row>
    <row r="70" spans="1:24" ht="13.5" thickBot="1">
      <c r="A70" s="58">
        <f>A68+1</f>
        <v>32</v>
      </c>
      <c r="B70" s="59"/>
      <c r="C70" s="59"/>
      <c r="D70" s="59"/>
      <c r="E70" s="60"/>
      <c r="F70" s="60"/>
      <c r="G70" s="59"/>
      <c r="H70" s="59"/>
      <c r="I70" s="136" t="s">
        <v>7</v>
      </c>
      <c r="J70" s="61"/>
      <c r="K70" s="137">
        <f ca="1">SUM(K67,K61,K50,K39,K30,K17,K12)</f>
        <v>5256840.2319927374</v>
      </c>
      <c r="L70" s="59"/>
      <c r="M70" s="194"/>
      <c r="N70" s="59"/>
      <c r="O70" s="59"/>
    </row>
    <row r="71" spans="1:24" ht="13.5" thickTop="1"/>
    <row r="73" spans="1:24">
      <c r="G73" s="179"/>
    </row>
  </sheetData>
  <mergeCells count="8">
    <mergeCell ref="A1:O1"/>
    <mergeCell ref="G54:I54"/>
    <mergeCell ref="G65:I65"/>
    <mergeCell ref="G4:I4"/>
    <mergeCell ref="G15:I15"/>
    <mergeCell ref="G21:I21"/>
    <mergeCell ref="G34:I34"/>
    <mergeCell ref="G43:I43"/>
  </mergeCells>
  <pageMargins left="0.7" right="0.7" top="0.81968750000000001" bottom="0.75" header="0.3" footer="0.3"/>
  <pageSetup scale="61" orientation="portrait" r:id="rId1"/>
  <headerFooter scaleWithDoc="0">
    <oddHeader>&amp;RQuestar Gas Company
Docket 15-057-13
Exhibit 1.5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workbookViewId="0">
      <selection activeCell="D40" sqref="D40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138"/>
      <c r="B1" s="367" t="s">
        <v>119</v>
      </c>
      <c r="C1" s="368"/>
      <c r="D1" s="368"/>
      <c r="E1" s="368"/>
      <c r="F1" s="368"/>
      <c r="G1" s="368"/>
      <c r="H1" s="368"/>
      <c r="I1" s="368"/>
      <c r="J1" s="139"/>
    </row>
    <row r="2" spans="1:10">
      <c r="A2" s="138"/>
      <c r="B2" s="367" t="s">
        <v>120</v>
      </c>
      <c r="C2" s="368"/>
      <c r="D2" s="368"/>
      <c r="E2" s="368"/>
      <c r="F2" s="368"/>
      <c r="G2" s="368"/>
      <c r="H2" s="368"/>
      <c r="I2" s="368"/>
      <c r="J2" s="139"/>
    </row>
    <row r="3" spans="1:10">
      <c r="A3" s="138"/>
      <c r="B3" s="138"/>
      <c r="C3" s="140"/>
      <c r="D3" s="138"/>
      <c r="E3" s="138"/>
      <c r="F3" s="138"/>
      <c r="G3" s="138"/>
      <c r="H3" s="138"/>
      <c r="I3" s="138"/>
      <c r="J3" s="138"/>
    </row>
    <row r="4" spans="1:10">
      <c r="A4" s="138"/>
      <c r="B4" s="138"/>
      <c r="C4" s="140"/>
      <c r="D4" s="138"/>
      <c r="E4" s="138"/>
      <c r="F4" s="138"/>
      <c r="G4" s="138"/>
      <c r="H4" s="138"/>
      <c r="I4" s="138"/>
      <c r="J4" s="138"/>
    </row>
    <row r="5" spans="1:10">
      <c r="A5" s="138"/>
      <c r="B5" s="141" t="s">
        <v>121</v>
      </c>
      <c r="C5" s="141" t="s">
        <v>122</v>
      </c>
      <c r="D5" s="142" t="s">
        <v>123</v>
      </c>
      <c r="E5" s="369" t="s">
        <v>124</v>
      </c>
      <c r="F5" s="369"/>
      <c r="G5" s="369" t="s">
        <v>125</v>
      </c>
      <c r="H5" s="369"/>
      <c r="I5" s="369" t="s">
        <v>126</v>
      </c>
      <c r="J5" s="369"/>
    </row>
    <row r="6" spans="1:10">
      <c r="A6" s="138"/>
      <c r="B6" s="143"/>
      <c r="C6" s="139"/>
      <c r="D6" s="143"/>
      <c r="E6" s="367" t="s">
        <v>127</v>
      </c>
      <c r="F6" s="368"/>
      <c r="G6" s="367" t="s">
        <v>128</v>
      </c>
      <c r="H6" s="368"/>
      <c r="I6" s="143"/>
      <c r="J6" s="143"/>
    </row>
    <row r="7" spans="1:10">
      <c r="A7" s="144"/>
      <c r="B7" s="145" t="s">
        <v>97</v>
      </c>
      <c r="C7" s="145"/>
      <c r="D7" s="146" t="s">
        <v>129</v>
      </c>
      <c r="E7" s="360" t="s">
        <v>130</v>
      </c>
      <c r="F7" s="361"/>
      <c r="G7" s="362" t="s">
        <v>131</v>
      </c>
      <c r="H7" s="363"/>
      <c r="I7" s="147"/>
      <c r="J7" s="147"/>
    </row>
    <row r="8" spans="1:10" ht="13.5" thickBot="1">
      <c r="A8" s="148"/>
      <c r="B8" s="149" t="s">
        <v>132</v>
      </c>
      <c r="C8" s="149" t="s">
        <v>133</v>
      </c>
      <c r="D8" s="150" t="s">
        <v>134</v>
      </c>
      <c r="E8" s="364">
        <f>A39</f>
        <v>42156</v>
      </c>
      <c r="F8" s="364"/>
      <c r="G8" s="365" t="s">
        <v>135</v>
      </c>
      <c r="H8" s="366"/>
      <c r="I8" s="151" t="s">
        <v>136</v>
      </c>
      <c r="J8" s="149"/>
    </row>
    <row r="9" spans="1:10">
      <c r="A9" s="138"/>
      <c r="B9" s="138"/>
      <c r="C9" s="140"/>
      <c r="D9" s="138"/>
      <c r="E9" s="138"/>
      <c r="F9" s="138"/>
      <c r="G9" s="138"/>
      <c r="H9" s="138"/>
      <c r="I9" s="138"/>
      <c r="J9" s="138"/>
    </row>
    <row r="10" spans="1:10">
      <c r="A10" s="140">
        <v>1</v>
      </c>
      <c r="B10" s="140" t="s">
        <v>69</v>
      </c>
      <c r="C10" s="140" t="s">
        <v>137</v>
      </c>
      <c r="D10" s="152">
        <v>14.9</v>
      </c>
      <c r="E10" s="153">
        <f>ROUND((D10*$D$39)+$B$39,2)</f>
        <v>129.09</v>
      </c>
      <c r="F10" s="153"/>
      <c r="G10" s="153">
        <f ca="1">ROUND((D10*$D$36)+$B$36,2)</f>
        <v>129.26</v>
      </c>
      <c r="H10" s="153"/>
      <c r="I10" s="153">
        <f ca="1">G10-E10</f>
        <v>0.16999999999998749</v>
      </c>
      <c r="J10" s="153"/>
    </row>
    <row r="11" spans="1:10">
      <c r="A11" s="140">
        <f t="shared" ref="A11:A21" si="0">A10+1</f>
        <v>2</v>
      </c>
      <c r="B11" s="138"/>
      <c r="C11" s="140" t="s">
        <v>138</v>
      </c>
      <c r="D11" s="152">
        <v>12.5</v>
      </c>
      <c r="E11" s="154">
        <f>ROUND((D11*$D$39)+$B$39,2)</f>
        <v>109.39</v>
      </c>
      <c r="F11" s="154"/>
      <c r="G11" s="154">
        <f t="shared" ref="G11:G12" ca="1" si="1">ROUND((D11*$D$36)+$B$36,2)</f>
        <v>109.53</v>
      </c>
      <c r="H11" s="154"/>
      <c r="I11" s="154">
        <f t="shared" ref="I11:I21" ca="1" si="2">G11-E11</f>
        <v>0.14000000000000057</v>
      </c>
      <c r="J11" s="154"/>
    </row>
    <row r="12" spans="1:10">
      <c r="A12" s="140">
        <f t="shared" si="0"/>
        <v>3</v>
      </c>
      <c r="B12" s="138"/>
      <c r="C12" s="140" t="s">
        <v>139</v>
      </c>
      <c r="D12" s="152">
        <v>10.1</v>
      </c>
      <c r="E12" s="154">
        <f>ROUND((D12*$D$39)+$B$39,2)</f>
        <v>89.68</v>
      </c>
      <c r="F12" s="154"/>
      <c r="G12" s="154">
        <f t="shared" ca="1" si="1"/>
        <v>89.79</v>
      </c>
      <c r="H12" s="154"/>
      <c r="I12" s="154">
        <f t="shared" ca="1" si="2"/>
        <v>0.10999999999999943</v>
      </c>
      <c r="J12" s="154"/>
    </row>
    <row r="13" spans="1:10">
      <c r="A13" s="140">
        <f t="shared" si="0"/>
        <v>4</v>
      </c>
      <c r="B13" s="138"/>
      <c r="C13" s="140" t="s">
        <v>140</v>
      </c>
      <c r="D13" s="152">
        <v>8.3000000000000007</v>
      </c>
      <c r="E13" s="154">
        <f>ROUND((D13*$C$39)+$B$39,2)</f>
        <v>64.05</v>
      </c>
      <c r="F13" s="154"/>
      <c r="G13" s="154">
        <f ca="1">ROUND((D13*$C$36)+$B$36,2)</f>
        <v>64.12</v>
      </c>
      <c r="H13" s="154"/>
      <c r="I13" s="154">
        <f t="shared" ca="1" si="2"/>
        <v>7.000000000000739E-2</v>
      </c>
      <c r="J13" s="154"/>
    </row>
    <row r="14" spans="1:10">
      <c r="A14" s="140">
        <f t="shared" si="0"/>
        <v>5</v>
      </c>
      <c r="B14" s="138"/>
      <c r="C14" s="140" t="s">
        <v>141</v>
      </c>
      <c r="D14" s="152">
        <v>4.4000000000000004</v>
      </c>
      <c r="E14" s="154">
        <f t="shared" ref="E14:E19" si="3">ROUND((D14*$C$39)+$B$39,2)</f>
        <v>37.130000000000003</v>
      </c>
      <c r="F14" s="154"/>
      <c r="G14" s="154">
        <f t="shared" ref="G14:G19" ca="1" si="4">ROUND((D14*$C$36)+$B$36,2)</f>
        <v>37.159999999999997</v>
      </c>
      <c r="H14" s="154"/>
      <c r="I14" s="154">
        <f t="shared" ca="1" si="2"/>
        <v>2.9999999999994031E-2</v>
      </c>
      <c r="J14" s="154"/>
    </row>
    <row r="15" spans="1:10">
      <c r="A15" s="140">
        <f t="shared" si="0"/>
        <v>6</v>
      </c>
      <c r="B15" s="138"/>
      <c r="C15" s="140" t="s">
        <v>142</v>
      </c>
      <c r="D15" s="152">
        <v>3.1</v>
      </c>
      <c r="E15" s="154">
        <f t="shared" si="3"/>
        <v>28.15</v>
      </c>
      <c r="F15" s="154"/>
      <c r="G15" s="154">
        <f t="shared" ca="1" si="4"/>
        <v>28.18</v>
      </c>
      <c r="H15" s="154"/>
      <c r="I15" s="154">
        <f t="shared" ca="1" si="2"/>
        <v>3.0000000000001137E-2</v>
      </c>
      <c r="J15" s="154"/>
    </row>
    <row r="16" spans="1:10">
      <c r="A16" s="140">
        <f t="shared" si="0"/>
        <v>7</v>
      </c>
      <c r="B16" s="138"/>
      <c r="C16" s="140" t="s">
        <v>143</v>
      </c>
      <c r="D16" s="152">
        <v>2</v>
      </c>
      <c r="E16" s="154">
        <f t="shared" si="3"/>
        <v>20.56</v>
      </c>
      <c r="F16" s="154"/>
      <c r="G16" s="154">
        <f t="shared" ca="1" si="4"/>
        <v>20.57</v>
      </c>
      <c r="H16" s="154"/>
      <c r="I16" s="154">
        <f t="shared" ca="1" si="2"/>
        <v>1.0000000000001563E-2</v>
      </c>
      <c r="J16" s="154"/>
    </row>
    <row r="17" spans="1:10">
      <c r="A17" s="140">
        <f t="shared" si="0"/>
        <v>8</v>
      </c>
      <c r="B17" s="138"/>
      <c r="C17" s="140" t="s">
        <v>144</v>
      </c>
      <c r="D17" s="152">
        <v>1.8</v>
      </c>
      <c r="E17" s="154">
        <f t="shared" si="3"/>
        <v>19.18</v>
      </c>
      <c r="F17" s="154"/>
      <c r="G17" s="154">
        <f t="shared" ca="1" si="4"/>
        <v>19.190000000000001</v>
      </c>
      <c r="H17" s="154"/>
      <c r="I17" s="154">
        <f t="shared" ca="1" si="2"/>
        <v>1.0000000000001563E-2</v>
      </c>
      <c r="J17" s="154"/>
    </row>
    <row r="18" spans="1:10">
      <c r="A18" s="140">
        <f t="shared" si="0"/>
        <v>9</v>
      </c>
      <c r="B18" s="138"/>
      <c r="C18" s="140" t="s">
        <v>145</v>
      </c>
      <c r="D18" s="152">
        <v>2</v>
      </c>
      <c r="E18" s="154">
        <f t="shared" si="3"/>
        <v>20.56</v>
      </c>
      <c r="F18" s="154"/>
      <c r="G18" s="154">
        <f t="shared" ca="1" si="4"/>
        <v>20.57</v>
      </c>
      <c r="H18" s="154"/>
      <c r="I18" s="154">
        <f t="shared" ca="1" si="2"/>
        <v>1.0000000000001563E-2</v>
      </c>
      <c r="J18" s="154"/>
    </row>
    <row r="19" spans="1:10">
      <c r="A19" s="140">
        <f t="shared" si="0"/>
        <v>10</v>
      </c>
      <c r="B19" s="138"/>
      <c r="C19" s="140" t="s">
        <v>146</v>
      </c>
      <c r="D19" s="152">
        <v>3.1</v>
      </c>
      <c r="E19" s="154">
        <f t="shared" si="3"/>
        <v>28.15</v>
      </c>
      <c r="F19" s="154"/>
      <c r="G19" s="154">
        <f t="shared" ca="1" si="4"/>
        <v>28.18</v>
      </c>
      <c r="H19" s="154"/>
      <c r="I19" s="154">
        <f t="shared" ca="1" si="2"/>
        <v>3.0000000000001137E-2</v>
      </c>
      <c r="J19" s="154"/>
    </row>
    <row r="20" spans="1:10">
      <c r="A20" s="140">
        <f t="shared" si="0"/>
        <v>11</v>
      </c>
      <c r="B20" s="138"/>
      <c r="C20" s="140" t="s">
        <v>147</v>
      </c>
      <c r="D20" s="152">
        <v>6.3</v>
      </c>
      <c r="E20" s="154">
        <f>ROUND((D20*$D$39)+$B$39,2)</f>
        <v>58.48</v>
      </c>
      <c r="F20" s="154"/>
      <c r="G20" s="154">
        <f t="shared" ref="G20:G21" ca="1" si="5">ROUND((D20*$D$36)+$B$36,2)</f>
        <v>58.55</v>
      </c>
      <c r="H20" s="154"/>
      <c r="I20" s="154">
        <f t="shared" ca="1" si="2"/>
        <v>7.0000000000000284E-2</v>
      </c>
      <c r="J20" s="154"/>
    </row>
    <row r="21" spans="1:10">
      <c r="A21" s="140">
        <f t="shared" si="0"/>
        <v>12</v>
      </c>
      <c r="B21" s="138"/>
      <c r="C21" s="140" t="s">
        <v>148</v>
      </c>
      <c r="D21" s="152">
        <v>11.5</v>
      </c>
      <c r="E21" s="154">
        <f>ROUND((D21*$D$39)+$B$39,2)</f>
        <v>101.17</v>
      </c>
      <c r="F21" s="154"/>
      <c r="G21" s="154">
        <f t="shared" ca="1" si="5"/>
        <v>101.31</v>
      </c>
      <c r="H21" s="154"/>
      <c r="I21" s="154">
        <f t="shared" ca="1" si="2"/>
        <v>0.14000000000000057</v>
      </c>
      <c r="J21" s="154"/>
    </row>
    <row r="22" spans="1:10" ht="13.5" thickBot="1">
      <c r="A22" s="140"/>
      <c r="B22" s="138"/>
      <c r="C22" s="140"/>
      <c r="D22" s="155"/>
      <c r="E22" s="156"/>
      <c r="F22" s="156"/>
      <c r="G22" s="156"/>
      <c r="H22" s="156"/>
      <c r="I22" s="157"/>
      <c r="J22" s="158"/>
    </row>
    <row r="23" spans="1:10" ht="13.5" thickTop="1">
      <c r="A23" s="140"/>
      <c r="B23" s="138"/>
      <c r="C23" s="140"/>
      <c r="D23" s="159"/>
      <c r="E23" s="160"/>
      <c r="F23" s="160"/>
      <c r="G23" s="140"/>
      <c r="H23" s="140"/>
      <c r="I23" s="160" t="s">
        <v>149</v>
      </c>
      <c r="J23" s="160"/>
    </row>
    <row r="24" spans="1:10">
      <c r="A24" s="140">
        <f>A21+1</f>
        <v>13</v>
      </c>
      <c r="B24" s="138"/>
      <c r="C24" s="161" t="s">
        <v>7</v>
      </c>
      <c r="D24" s="162">
        <f>SUM(D10:D23)</f>
        <v>80</v>
      </c>
      <c r="E24" s="153">
        <f>SUM(E10:E21)</f>
        <v>705.58999999999992</v>
      </c>
      <c r="F24" s="153"/>
      <c r="G24" s="153">
        <f ca="1">SUM(G10:G21)</f>
        <v>706.40999999999985</v>
      </c>
      <c r="H24" s="153"/>
      <c r="I24" s="153">
        <f ca="1">SUM(I10:I21)</f>
        <v>0.81999999999999673</v>
      </c>
      <c r="J24" s="153"/>
    </row>
    <row r="25" spans="1:10">
      <c r="A25" s="138"/>
      <c r="B25" s="138"/>
      <c r="C25" s="140"/>
      <c r="D25" s="138"/>
      <c r="E25" s="163"/>
      <c r="F25" s="163"/>
      <c r="G25" s="138"/>
      <c r="H25" s="138"/>
      <c r="I25" s="138"/>
      <c r="J25" s="138"/>
    </row>
    <row r="26" spans="1:10">
      <c r="A26" s="138"/>
      <c r="B26" s="138" t="s">
        <v>149</v>
      </c>
      <c r="C26" s="140"/>
      <c r="D26" s="138"/>
      <c r="E26" s="138"/>
      <c r="F26" s="138"/>
      <c r="G26" s="164" t="s">
        <v>150</v>
      </c>
      <c r="H26" s="164"/>
      <c r="I26" s="165">
        <f ca="1">ROUND(I24/E24,4)*100</f>
        <v>0.12</v>
      </c>
      <c r="J26" s="166" t="s">
        <v>151</v>
      </c>
    </row>
    <row r="34" spans="1:4">
      <c r="A34" s="167"/>
      <c r="B34" s="168"/>
      <c r="C34" s="40" t="s">
        <v>103</v>
      </c>
      <c r="D34" s="40" t="s">
        <v>98</v>
      </c>
    </row>
    <row r="35" spans="1:4" ht="13.5" thickBot="1">
      <c r="A35" s="168"/>
      <c r="B35" s="169" t="s">
        <v>152</v>
      </c>
      <c r="C35" s="170" t="s">
        <v>153</v>
      </c>
      <c r="D35" s="170" t="s">
        <v>153</v>
      </c>
    </row>
    <row r="36" spans="1:4">
      <c r="A36" s="171" t="s">
        <v>154</v>
      </c>
      <c r="B36" s="172">
        <v>6.75</v>
      </c>
      <c r="C36" s="173">
        <f ca="1">'Exhibit 1.5 Tracker Rates'!X10</f>
        <v>6.9118300000000001</v>
      </c>
      <c r="D36" s="173">
        <f ca="1">'Exhibit 1.5 Tracker Rates'!X7</f>
        <v>8.22227</v>
      </c>
    </row>
    <row r="37" spans="1:4">
      <c r="A37" s="171"/>
      <c r="B37" s="172"/>
      <c r="C37" s="173"/>
      <c r="D37" s="173"/>
    </row>
    <row r="38" spans="1:4">
      <c r="A38" s="168" t="s">
        <v>155</v>
      </c>
      <c r="B38" s="172"/>
      <c r="C38" s="174"/>
      <c r="D38" s="174"/>
    </row>
    <row r="39" spans="1:4">
      <c r="A39" s="175">
        <v>42156</v>
      </c>
      <c r="B39" s="172">
        <v>6.75</v>
      </c>
      <c r="C39" s="176">
        <f>'Exhibit 1.5 Tracker Rates'!V10</f>
        <v>6.9034599999999999</v>
      </c>
      <c r="D39" s="176">
        <f>'Exhibit 1.5 Tracker Rates'!V7</f>
        <v>8.2108399999999993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&amp;RQuestar Gas Company
Docket 15-057-13
Exhibit 1.6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workbookViewId="0"/>
  </sheetViews>
  <sheetFormatPr defaultRowHeight="12.75"/>
  <cols>
    <col min="1" max="1" width="22" customWidth="1"/>
    <col min="2" max="2" width="19.5703125" customWidth="1"/>
    <col min="3" max="3" width="21.140625" customWidth="1"/>
  </cols>
  <sheetData>
    <row r="3" spans="2:3">
      <c r="C3" s="223" t="s">
        <v>310</v>
      </c>
    </row>
    <row r="4" spans="2:3">
      <c r="C4" s="223" t="s">
        <v>342</v>
      </c>
    </row>
    <row r="5" spans="2:3">
      <c r="C5" s="223" t="s">
        <v>343</v>
      </c>
    </row>
    <row r="6" spans="2:3">
      <c r="C6" s="228" t="s">
        <v>48</v>
      </c>
    </row>
    <row r="7" spans="2:3">
      <c r="B7" s="178" t="s">
        <v>331</v>
      </c>
      <c r="C7" s="227">
        <v>49.3</v>
      </c>
    </row>
    <row r="8" spans="2:3">
      <c r="B8" s="178" t="s">
        <v>332</v>
      </c>
      <c r="C8" s="227">
        <v>40.92</v>
      </c>
    </row>
    <row r="9" spans="2:3">
      <c r="B9" s="178" t="s">
        <v>333</v>
      </c>
      <c r="C9" s="227">
        <v>32.81</v>
      </c>
    </row>
    <row r="10" spans="2:3">
      <c r="B10" s="178" t="s">
        <v>334</v>
      </c>
      <c r="C10" s="227">
        <v>20.7</v>
      </c>
    </row>
    <row r="11" spans="2:3">
      <c r="B11" s="178" t="s">
        <v>141</v>
      </c>
      <c r="C11" s="227">
        <v>13.64</v>
      </c>
    </row>
    <row r="12" spans="2:3">
      <c r="B12" s="178" t="s">
        <v>335</v>
      </c>
      <c r="C12" s="227">
        <v>11.62</v>
      </c>
    </row>
    <row r="13" spans="2:3">
      <c r="B13" s="178" t="s">
        <v>336</v>
      </c>
      <c r="C13" s="227">
        <v>11.08</v>
      </c>
    </row>
    <row r="14" spans="2:3">
      <c r="B14" s="178" t="s">
        <v>337</v>
      </c>
      <c r="C14" s="227">
        <v>11.05</v>
      </c>
    </row>
    <row r="15" spans="2:3">
      <c r="B15" s="178" t="s">
        <v>338</v>
      </c>
      <c r="C15" s="227">
        <v>12.79</v>
      </c>
    </row>
    <row r="16" spans="2:3">
      <c r="B16" s="178" t="s">
        <v>339</v>
      </c>
      <c r="C16" s="227">
        <v>17.149999999999999</v>
      </c>
    </row>
    <row r="17" spans="1:3">
      <c r="B17" s="178" t="s">
        <v>340</v>
      </c>
      <c r="C17" s="227">
        <v>31.67</v>
      </c>
    </row>
    <row r="18" spans="1:3">
      <c r="B18" s="178" t="s">
        <v>341</v>
      </c>
      <c r="C18" s="227">
        <v>44.33</v>
      </c>
    </row>
    <row r="19" spans="1:3">
      <c r="B19" s="201"/>
      <c r="C19" s="229">
        <f>SUM(C7:C18)</f>
        <v>297.06</v>
      </c>
    </row>
    <row r="20" spans="1:3">
      <c r="B20" s="201"/>
    </row>
    <row r="23" spans="1:3">
      <c r="A23" s="37"/>
      <c r="B23" s="37" t="s">
        <v>344</v>
      </c>
    </row>
  </sheetData>
  <pageMargins left="0.7" right="0.7" top="0.75" bottom="0.75" header="0.3" footer="0.3"/>
  <pageSetup orientation="portrait" r:id="rId1"/>
  <headerFooter>
    <oddHeader>&amp;RQuestar Gas Company
15-057-13
Exhibit 1.7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Calculations</vt:lpstr>
      <vt:lpstr>Exhibit 1.1</vt:lpstr>
      <vt:lpstr>Exhibit 1.1 Page 4</vt:lpstr>
      <vt:lpstr>Exhibit 1.2 Lakeside</vt:lpstr>
      <vt:lpstr>Exhibit 1.3 COS</vt:lpstr>
      <vt:lpstr>Exhibit 1.4 Base Rates</vt:lpstr>
      <vt:lpstr>Exhibit 1.5 Tracker Rates</vt:lpstr>
      <vt:lpstr>Exhibit 1.6 Typical Bill</vt:lpstr>
      <vt:lpstr>Exhibit 1.7 CET</vt:lpstr>
      <vt:lpstr>Cumulative_Investment</vt:lpstr>
      <vt:lpstr>'Exhibit 1.1'!Print_Area</vt:lpstr>
      <vt:lpstr>'Exhibit 1.1 Page 4'!Print_Area</vt:lpstr>
      <vt:lpstr>'Exhibit 1.3 COS'!Print_Area</vt:lpstr>
      <vt:lpstr>'Exhibit 1.4 Base Rates'!Print_Area</vt:lpstr>
      <vt:lpstr>'Exhibit 1.5 Tracker Rates'!Print_Area</vt:lpstr>
      <vt:lpstr>'Exhibit 1.6 Typical Bill'!Print_Area</vt:lpstr>
      <vt:lpstr>'Exhibit 1.1'!Print_Titles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2015-09-01T21:44:30Z</cp:lastPrinted>
  <dcterms:created xsi:type="dcterms:W3CDTF">2011-08-18T22:49:59Z</dcterms:created>
  <dcterms:modified xsi:type="dcterms:W3CDTF">2015-09-02T22:11:26Z</dcterms:modified>
</cp:coreProperties>
</file>